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420" windowHeight="9270" tabRatio="777" activeTab="7"/>
  </bookViews>
  <sheets>
    <sheet name="Cover" sheetId="1" r:id="rId1"/>
    <sheet name="Intro" sheetId="2" r:id="rId2"/>
    <sheet name="Assump" sheetId="3" r:id="rId3"/>
    <sheet name="Input" sheetId="4" r:id="rId4"/>
    <sheet name="Small_HCFs" sheetId="5" r:id="rId5"/>
    <sheet name="Medium_HCFs" sheetId="6" r:id="rId6"/>
    <sheet name="Large_HCFs" sheetId="7" r:id="rId7"/>
    <sheet name="Clusters" sheetId="8" r:id="rId8"/>
    <sheet name="National" sheetId="9" r:id="rId9"/>
    <sheet name="Results" sheetId="10" r:id="rId10"/>
    <sheet name="Summary" sheetId="11" r:id="rId11"/>
  </sheets>
  <externalReferences>
    <externalReference r:id="rId14"/>
  </externalReferences>
  <definedNames>
    <definedName name="annual_cost_air_pollution_control_large_incinerator">'Assump'!$E$84</definedName>
    <definedName name="annual_cost_air_pollution_control_medium_incinerator">'Assump'!$E$81</definedName>
    <definedName name="annual_cost_air_pollution_control_medium_large_incinerator">'Assump'!$E$82</definedName>
    <definedName name="annual_cost_emission_testing">'Assump'!$E$83</definedName>
    <definedName name="annual_cost_validation_testing">'Assump'!$E$63</definedName>
    <definedName name="bed_HCWprod_kgDay">'[1]Tool A'!$E$6</definedName>
    <definedName name="beds_per_large_A_HCF">'Input'!$C$15</definedName>
    <definedName name="beds_per_large_B_HCF">'Input'!$C$17</definedName>
    <definedName name="beds_per_medium_HCF">'Input'!$C$11</definedName>
    <definedName name="budget">'Input'!$C$42</definedName>
    <definedName name="bulk_density_small_HCF">'Small_HCFs'!$F$8</definedName>
    <definedName name="capacity_safety_box">'Assump'!$E$9</definedName>
    <definedName name="cost_1200L_autoclave">'Assump'!$E$43</definedName>
    <definedName name="cost_125L_autoclave">'Assump'!$E$29</definedName>
    <definedName name="cost_15L_bin">'Assump'!$E$16</definedName>
    <definedName name="Cost_15L_bins">'Assump'!$E$16</definedName>
    <definedName name="cost_15L_plastic_bag">'Assump'!$E$55</definedName>
    <definedName name="cost_2300L_autoclave">'Assump'!$E$44</definedName>
    <definedName name="cost_240L_wheeled_bin">'Assump'!$E$21</definedName>
    <definedName name="cost_340L_autoclave">'Assump'!$E$36</definedName>
    <definedName name="cost_50L_bin">'Assump'!$E$20</definedName>
    <definedName name="cost_50L_plastic_bag">'Assump'!$E$59</definedName>
    <definedName name="cost_5L_plastic_sharps_container">'Assump'!$E$53</definedName>
    <definedName name="cost_advanced_steam_1000liters_per_cycle">'Assump'!$E$39</definedName>
    <definedName name="cost_advanced_steam_2000liters_per_cycle">'Assump'!$E$40</definedName>
    <definedName name="cost_advanced_steam_300liter_per_cycle">'Assump'!$E$38</definedName>
    <definedName name="cost_air_pollution_control_large_incinerator">'Assump'!$E$48</definedName>
    <definedName name="cost_air_pollution_control_medium_incinerator">'Assump'!$E$33</definedName>
    <definedName name="cost_air_pollution_control_medium_large_incinerator">'Assump'!$E$35</definedName>
    <definedName name="cost_fuel_1kg">'Assump'!#REF!</definedName>
    <definedName name="cost_fuel_1Ldiesel">'Assump'!$E$64</definedName>
    <definedName name="cost_incinerator_150kg_per_hr">'Assump'!$E$32</definedName>
    <definedName name="cost_incinerator_350kg_per_hr">'Assump'!$E$46</definedName>
    <definedName name="cost_incinerator_50kg_per_hr">'Assump'!$E$31</definedName>
    <definedName name="cost_incubator_kit">'Assump'!$E$42</definedName>
    <definedName name="cost_large_shredder">'Assump'!$E$45</definedName>
    <definedName name="cost_large_storage_area">'Assump'!$E$28</definedName>
    <definedName name="cost_LPG_per_kg">'Assump'!$E$75</definedName>
    <definedName name="cost_medium_autoclave">'Assump'!$E$23</definedName>
    <definedName name="cost_medium_microwave">'Assump'!$E$25</definedName>
    <definedName name="cost_medium_shredder">'Assump'!$E$37</definedName>
    <definedName name="cost_microwave_140kg_per_hr">'Assump'!$E$26</definedName>
    <definedName name="cost_microwave_330kg_per_hr">'Assump'!$E$27</definedName>
    <definedName name="cost_monitoring_system_large_incinerator">'Assump'!$E$47</definedName>
    <definedName name="cost_monitoring_system_medium_incinerator">'Assump'!$E$34</definedName>
    <definedName name="cost_per_autoclave_test_indicator">'Assump'!$E$62</definedName>
    <definedName name="cost_PPE">'Assump'!$E$17</definedName>
    <definedName name="cost_reusable_sharps_container">'Assump'!$E$30</definedName>
    <definedName name="cost_safety_box">'Assump'!#REF!</definedName>
    <definedName name="cost_shelter_SSI">'Assump'!#REF!</definedName>
    <definedName name="cost_shelter_treatment_system">'Assump'!$E$24</definedName>
    <definedName name="cost_simple_autoclave_shelter">'Assump'!$E$19</definedName>
    <definedName name="cost_small_autoclave_or_microwave">'Assump'!$E$18</definedName>
    <definedName name="cost_storage_area">'Assump'!$E$22</definedName>
    <definedName name="cost_transport_vehicle">'Assump'!$E$41</definedName>
    <definedName name="Cost_water_sewage">'Small_HCFs'!$F$11</definedName>
    <definedName name="days_per_year_small_HCF">'Small_HCFs'!$F$10</definedName>
    <definedName name="discount_rate">'Assump'!$E$7</definedName>
    <definedName name="fuel_biomass_1kg">#REF!</definedName>
    <definedName name="fuel_diesel_1L">#REF!</definedName>
    <definedName name="gdp">'Input'!$C$43</definedName>
    <definedName name="HCF_small_nb_beds">'[1]Tool A'!$E$11</definedName>
    <definedName name="HCF_small_nb_staff">'[1]Tool A'!$G$11</definedName>
    <definedName name="HCF_small_nb_total">'[1]Tool A'!$E$20</definedName>
    <definedName name="HCW_bin_plastic_15L">#REF!</definedName>
    <definedName name="HCW_bin_plastic_15L_Lifespan">#REF!</definedName>
    <definedName name="HCW_bin_plastic_50L">#REF!</definedName>
    <definedName name="HCW_bin_plastic_50L_Lifespan">#REF!</definedName>
    <definedName name="HCW_storage_area">#REF!</definedName>
    <definedName name="HCW_storage_area_lifespan">#REF!</definedName>
    <definedName name="HCW_TS_autoclave_250kgh">#REF!</definedName>
    <definedName name="HCW_TS_autoclave_50kgh">#REF!</definedName>
    <definedName name="HCW_TS_autoclave_50kgh_lifespan">#REF!</definedName>
    <definedName name="HCW_TS_autoclave_5kgh">#REF!</definedName>
    <definedName name="HCW_TS_autoclave_5kgh_lifespan">#REF!</definedName>
    <definedName name="HCW_TS_incinerator_250kgh">#REF!</definedName>
    <definedName name="HCW_TS_incinerator_50kgh">#REF!</definedName>
    <definedName name="HCW_TS_incinerator_50kgh_lifespan">#REF!</definedName>
    <definedName name="HCW_TS_incinerator_5kgh">#REF!</definedName>
    <definedName name="HCW_TS_incinerator_5kgh_lifespan">#REF!</definedName>
    <definedName name="HCW_TS_shelter">#REF!</definedName>
    <definedName name="HCW_TS_shelter_lifespan">#REF!</definedName>
    <definedName name="inf_waste_gen_small_HCF">'Input'!#REF!</definedName>
    <definedName name="kWh_per_cycle">'Assump'!$E$56</definedName>
    <definedName name="kWh_per_cycle_24Lautoclave">'Assump'!$E$56</definedName>
    <definedName name="kWh_per_cycle_51Lautoclave">'Assump'!$E$60</definedName>
    <definedName name="kWh_per_cycle_advanced_steam_1000L">'Assump'!$E$71</definedName>
    <definedName name="kWh_per_cycle_advanced_steam_300L">'Assump'!$E$70</definedName>
    <definedName name="kWh_per_cycle_medium_autoclave">'Assump'!$E$68</definedName>
    <definedName name="kWh_per_cycle_medium_microwave">'Assump'!$E$68</definedName>
    <definedName name="kWh_per_kg_microwave">'Assump'!$E$69</definedName>
    <definedName name="kWh_per_liter_large_autoclave">'Assump'!$E$76</definedName>
    <definedName name="kWh_per_liter_medium_shredder">'Assump'!$E$80</definedName>
    <definedName name="kWh_per_run">'Assump'!$E$56</definedName>
    <definedName name="life_1200L_autoclave">'Assump'!$H$43</definedName>
    <definedName name="life_125L_autoclave">'Assump'!$H$29</definedName>
    <definedName name="life_15L_bin">'Assump'!$H$16</definedName>
    <definedName name="life_2300L_autoclave">'Assump'!$H$44</definedName>
    <definedName name="life_240L_wheeled_bin">'Assump'!$H$21</definedName>
    <definedName name="life_340L_autoclave">'Assump'!$H$36</definedName>
    <definedName name="life_50L_bin">'Assump'!$H$20</definedName>
    <definedName name="life_advanced_steam_1000liters_per_cycle">'Assump'!$H$39</definedName>
    <definedName name="life_advanced_steam_2000liters_per_cycle">'Assump'!$H$40</definedName>
    <definedName name="life_advanced_steam_300liters_per_cycle">'Assump'!$H$38</definedName>
    <definedName name="life_air_pollution_control_large_incinerator">'Assump'!$H$48</definedName>
    <definedName name="life_air_pollution_control_medium_incinerator">'Assump'!$H$33</definedName>
    <definedName name="life_air_pollution_control_medium_large_incinerator">'Assump'!$H$35</definedName>
    <definedName name="life_emission_system_medium_incinerator">'Assump'!$H$34</definedName>
    <definedName name="life_incinerator_150kg_per_hr">'Assump'!$H$32</definedName>
    <definedName name="life_incinerator_350kg_per_hr">'Assump'!$H$46</definedName>
    <definedName name="life_incinerator_50kg_per_hr">'Assump'!$H$31</definedName>
    <definedName name="life_incubator_kit">'Assump'!$H$42</definedName>
    <definedName name="life_large_shredder">'Assump'!$H$45</definedName>
    <definedName name="life_large_storage_area">'Assump'!$H$28</definedName>
    <definedName name="life_medium_autoclave">'Assump'!$H$23</definedName>
    <definedName name="life_medium_microwave">'Assump'!$H$25</definedName>
    <definedName name="life_medium_shredder">'Assump'!$H$37</definedName>
    <definedName name="life_microwave_140kg_per_hr">'Assump'!$H$26</definedName>
    <definedName name="life_microwave_330kg_per_hr">'Assump'!$H$27</definedName>
    <definedName name="life_minimal_air_pollution_control_medium_incinerator">'Assump'!#REF!</definedName>
    <definedName name="life_monitoring_system_large_incinerator">'Assump'!$H$47</definedName>
    <definedName name="life_PPE">'Assump'!$H$17</definedName>
    <definedName name="life_reusable_sharps_container">'Assump'!$H$30</definedName>
    <definedName name="life_sharps_pit">'Assump'!#REF!</definedName>
    <definedName name="life_shelter_SSI">'Assump'!#REF!</definedName>
    <definedName name="life_shelter_treatment_system">'Assump'!$H$24</definedName>
    <definedName name="life_simple_autoclave_shelter">'Assump'!$H$19</definedName>
    <definedName name="life_small_autoclave_or_microwave">'Assump'!$H$18</definedName>
    <definedName name="life_storage_area">'Assump'!$H$22</definedName>
    <definedName name="life_transport_vehicle">'Assump'!$H$41</definedName>
    <definedName name="liter_percycle_24L">'Assump'!$E$57</definedName>
    <definedName name="liters_diesel_per_hour_150kg_per_hr_incinerator">'Assump'!$E$66</definedName>
    <definedName name="liters_diesel_per_hour_350kg_per_hr_incinerator">'Assump'!$E$67</definedName>
    <definedName name="liters_diesel_per_hour_50kg_per_hr_incinerator">'Assump'!$E$65</definedName>
    <definedName name="maintenance_annual_costs">#REF!</definedName>
    <definedName name="maintenance_frax_cap_cost">'Assump'!$E$58</definedName>
    <definedName name="no_small_HCFs">'Input'!$C$7</definedName>
    <definedName name="number_FTE_HCW_large_cluster">'Clusters'!$Q$46</definedName>
    <definedName name="number_FTE_HCW_medium_cluster">'Clusters'!$G$46</definedName>
    <definedName name="number_large_A_HCFs">'Input'!$C$14</definedName>
    <definedName name="number_large_B_HCFs">'Input'!$C$16</definedName>
    <definedName name="number_large_clusters">'Input'!$C$30</definedName>
    <definedName name="number_large_HCFs_large_cluster">'Input'!$C$34</definedName>
    <definedName name="number_large_HCFs_medium_cluster">'Input'!$C$26</definedName>
    <definedName name="number_medium_clusters">'Input'!$C$22</definedName>
    <definedName name="number_medium_HCFs">'Input'!$C$10</definedName>
    <definedName name="number_medium_HCFs_large_cluster">'Input'!$C$32</definedName>
    <definedName name="number_medium_HCFs_medium_cluster">'Input'!$C$24</definedName>
    <definedName name="number_small_HCFs">'Input'!$C$7</definedName>
    <definedName name="number_small_HCFs_large_cluster">'Input'!$C$31</definedName>
    <definedName name="number_small_HCFs_medium_cluster">'Input'!$C$23</definedName>
    <definedName name="plastic_bag_15L">#REF!</definedName>
    <definedName name="plastic_bag_50L">#REF!</definedName>
    <definedName name="plastic_bag_85L">#REF!</definedName>
    <definedName name="plastic_liner_240L">#REF!</definedName>
    <definedName name="population">'Input'!$C$41</definedName>
    <definedName name="PPE_lifespan">#REF!</definedName>
    <definedName name="_xlnm.Print_Area" localSheetId="2">'Assump'!$A$1:$H$84</definedName>
    <definedName name="_xlnm.Print_Area" localSheetId="7">'Clusters'!$A$1:$S$258</definedName>
    <definedName name="_xlnm.Print_Area" localSheetId="3">'Input'!$A$1:$D$43</definedName>
    <definedName name="_xlnm.Print_Area" localSheetId="6">'Large_HCFs'!$A$1:$S$157</definedName>
    <definedName name="_xlnm.Print_Area" localSheetId="5">'Medium_HCFs'!$A$1:$I$88</definedName>
    <definedName name="_xlnm.Print_Area" localSheetId="8">'National'!$A$1:$I$39</definedName>
    <definedName name="_xlnm.Print_Area" localSheetId="9">'Results'!$A$1:$J$171</definedName>
    <definedName name="_xlnm.Print_Area" localSheetId="4">'Small_HCFs'!$A$1:$I$45</definedName>
    <definedName name="_xlnm.Print_Area" localSheetId="10">'Summary'!$A$1:$L$11</definedName>
    <definedName name="ratio_chemical_to_noninf">'Assump'!$E$11</definedName>
    <definedName name="ratio_inf_to_noninf">'Assump'!$E$10</definedName>
    <definedName name="sharp_box_cardboard_5L">#REF!</definedName>
    <definedName name="sharp_box_plastic_10L">#REF!</definedName>
    <definedName name="sharp_box_plastic_5L">#REF!</definedName>
    <definedName name="sharp_pit_1m3">#REF!</definedName>
    <definedName name="sharp_pit_1m3_lifespan">#REF!</definedName>
    <definedName name="sharps_waste_gen_small_HCF">'Input'!#REF!</definedName>
    <definedName name="staff_nb_patients">'[1]Tool A'!$E$9</definedName>
    <definedName name="total_beds_large_HCFs_large_cluster">'Input'!$C$35</definedName>
    <definedName name="total_beds_large_HCFs_medium_cluster">'Input'!$C$27</definedName>
    <definedName name="total_beds_medium_HCFs_large_cluster">'Input'!$C$33</definedName>
    <definedName name="total_beds_medium_HCFs_medium_cluster">'Input'!$C$25</definedName>
    <definedName name="total_beds_national">'Input'!$C$40</definedName>
    <definedName name="total_kg_per_day_large_cluster">'Clusters'!$Q$40</definedName>
    <definedName name="total_kg_per_day_medium_cluster">'Clusters'!$G$40</definedName>
    <definedName name="training_staff">#REF!</definedName>
    <definedName name="wages_HCW_coordinator">#REF!</definedName>
    <definedName name="wages_HCW_worker">#REF!</definedName>
    <definedName name="water_use_125L_autoclave">'Assump'!$E$77</definedName>
    <definedName name="water_use_2300L_autoclave">'Assump'!$E$79</definedName>
    <definedName name="water_use_340L_autoclave">'Assump'!$E$78</definedName>
    <definedName name="water_use_51Lautoclave">'Assump'!$E$61</definedName>
    <definedName name="water_use_advanced_steam_1000L">'Assump'!$E$74</definedName>
    <definedName name="water_use_advanced_steam_300L">'Assump'!$E$73</definedName>
    <definedName name="water_use_medium_microwave">'Assump'!$E$72</definedName>
    <definedName name="weight_5L_plastic_sharps_container">'Assump'!$E$54</definedName>
    <definedName name="weight_syringe">'Assump'!$E$8</definedName>
    <definedName name="wheelie_bin_240L">#REF!</definedName>
    <definedName name="wheelie_bin_770L">#REF!</definedName>
    <definedName name="wheelie_bin_lifespan">#REF!</definedName>
    <definedName name="year_nb_days">'[1]Tool A'!$E$10</definedName>
  </definedNames>
  <calcPr fullCalcOnLoad="1"/>
</workbook>
</file>

<file path=xl/sharedStrings.xml><?xml version="1.0" encoding="utf-8"?>
<sst xmlns="http://schemas.openxmlformats.org/spreadsheetml/2006/main" count="1991" uniqueCount="510">
  <si>
    <t>The annual costs of HCWM include both capital (or one-time) costs as well as annual operating (or recurrent) costs. Capital costs involve equipment and technologies with different life spans. For the purposes of this tool, the capital cost is converted to an equivalent annual cost using the standard discounting formula which takes into account the equipment life span and a discount or interest rate.</t>
  </si>
  <si>
    <r>
      <t xml:space="preserve">The tool uses a series of assumptions, shown as </t>
    </r>
    <r>
      <rPr>
        <b/>
        <sz val="9"/>
        <color indexed="53"/>
        <rFont val="Arial"/>
        <family val="2"/>
      </rPr>
      <t>bold orange</t>
    </r>
    <r>
      <rPr>
        <sz val="9"/>
        <rFont val="Arial"/>
        <family val="2"/>
      </rPr>
      <t xml:space="preserve"> values, based on the scientific literature or field data. These assumptions are listed in the Assumption section and at the top of each calculation section. They can be changed by the user as country-specific data become available.</t>
    </r>
  </si>
  <si>
    <t>The expanded costing analysis tool (ECAT) is a modified version of the cost analysis tool (CAT) and provides more options and approaches than the CAT. It was created to help the user estimate costs related to health care waste management (HCWM) at the health care facility (HCF), central treatment facility or cluster, and national levels.</t>
  </si>
  <si>
    <r>
      <t>National policy makers</t>
    </r>
    <r>
      <rPr>
        <sz val="9"/>
        <rFont val="Arial"/>
        <family val="2"/>
      </rPr>
      <t xml:space="preserve"> may find this tool useful to better understand the financial implications of safe and appropriate HCWM.</t>
    </r>
  </si>
  <si>
    <t>Step 8: The results of the ECAT may be used to estimate the financial requirements needed for HCWM at the facility, cluster and national levels.</t>
  </si>
  <si>
    <t xml:space="preserve">Step 1: It is recommended that you start by saving an original copy of this costing tool to preserve the original formulas. Familiarize yourself with each section of the costing tool and the different approaches and options. </t>
  </si>
  <si>
    <t xml:space="preserve">Large incinerator (350 kg/hr) </t>
  </si>
  <si>
    <t xml:space="preserve">Step 3: Compile data on the numbers of small, medium, large (Group A: 100 to 499 beds) and very large (Group B: 500 beds or more) health-care facilities in the country that are or will operate an on-site treatment system. Compute or estimate the average number of beds under each of these categories (except for small HCFs which are assumed to have no beds). </t>
  </si>
  <si>
    <t>Number of very large Group B HCFs (500 beds or more)</t>
  </si>
  <si>
    <t>Average number of beds per very large Group B HCF</t>
  </si>
  <si>
    <t>Average number of large &amp; very large HCFs in a medium cluster</t>
  </si>
  <si>
    <t>Average total beds of large &amp; very large HCFs in a medium cluster</t>
  </si>
  <si>
    <t>Average number of large &amp; very large HCFs in a large cluster</t>
  </si>
  <si>
    <t>Average total beds of large &amp; very large HCFs in a large cluster</t>
  </si>
  <si>
    <t>kg/day per very large HCF</t>
  </si>
  <si>
    <t>liter/day per very large HCF</t>
  </si>
  <si>
    <t>Total annual capital costs per very large Group B HCF</t>
  </si>
  <si>
    <t>Total annual capital costs for all very large Group B HCFs</t>
  </si>
  <si>
    <t>Total recurrent costs per very large Group B HCF</t>
  </si>
  <si>
    <t>Total recurrent costs for all very large Group B HCFs</t>
  </si>
  <si>
    <t>Total annual costs for all very large Group B HCFs</t>
  </si>
  <si>
    <t>Step 5: If centralized treatment in central facilities or clusters is desired, estimate the number of medium-size clusters (300 to 1000 kg/day) that are or will be established; the average number of small, medium, and large/very large HCFs served by a typical medium-size cluster; and the average number of total beds for medium HCFs and for large/very large HCFs served by a typical medium-sized cluster. The same information should be estimated for any large-size clusters (treating 1000 kg/day or more). It is important to note that the small, medium and large/very large HCFs served by these clusters should NOT be included in the data computed under Step 3.</t>
  </si>
  <si>
    <r>
      <t xml:space="preserve">   1)  </t>
    </r>
    <r>
      <rPr>
        <b/>
        <sz val="9"/>
        <color indexed="52"/>
        <rFont val="Arial"/>
        <family val="0"/>
      </rPr>
      <t>Orange</t>
    </r>
    <r>
      <rPr>
        <sz val="9"/>
        <rFont val="Arial"/>
        <family val="2"/>
      </rPr>
      <t xml:space="preserve"> values: these numbers are assumptions based on the scientific literature or field data. Replace them if you have more precise country-specific data.</t>
    </r>
  </si>
  <si>
    <t xml:space="preserve">   3)  Values in regular black font: these numbers are linked to input values, assumptions and forumulas and should not be modified.</t>
  </si>
  <si>
    <t xml:space="preserve">Step 7: A summary of the results of the calculations can be found in the Results section. All figures are in dollars ($). The grand total annual costs are shown for each option along with a breakdown of capital and recurrent costs. For clusters, a breakdown of costs at the level of the HCFs served by the cluster and at the level of the cluster or central treatment plant is presented. Also computed are the HCWM costs per bed, per kg of waste, and per population, as well as HCWM costs as a percentage of the annual national health-care budget, and the specific costs related to sharps waste management. </t>
  </si>
  <si>
    <t>Centralized Treatment in Clusters or Central Treatment Facilities</t>
  </si>
  <si>
    <t>Summary</t>
  </si>
  <si>
    <t>Provides graphs and tables</t>
  </si>
  <si>
    <t>Results of Calculations</t>
  </si>
  <si>
    <t>Option</t>
  </si>
  <si>
    <t>Description</t>
  </si>
  <si>
    <t>Total Annual Costs ($/yr)</t>
  </si>
  <si>
    <t>Indicative values for option 1</t>
  </si>
  <si>
    <t>Indicative values for option 2</t>
  </si>
  <si>
    <t>Transport vehicle (5000 liter capacity)</t>
  </si>
  <si>
    <t>Total cluster-level annual capital costs for a large cluster</t>
  </si>
  <si>
    <t>Total annual cluster-level capital costs for all large clusters</t>
  </si>
  <si>
    <t>Water use (2300L autoclave)</t>
  </si>
  <si>
    <t>Total cluster-level recurrent costs for a large cluster</t>
  </si>
  <si>
    <t>Total cluster-level recurrent costs for all large clusters</t>
  </si>
  <si>
    <t>Total facility-level recurrent costs for a large cluster</t>
  </si>
  <si>
    <t>Total facility-level recurrent costs for all large clusters</t>
  </si>
  <si>
    <t>Installation cost</t>
  </si>
  <si>
    <t>Incinerator (350 kg/hr)</t>
  </si>
  <si>
    <t>of capital cost</t>
  </si>
  <si>
    <t>Cost of air pollution control</t>
  </si>
  <si>
    <t>Calculations for large health-care facilities (HCF)</t>
  </si>
  <si>
    <t>GROUP A (100-499 beds)</t>
  </si>
  <si>
    <t>GROUP B (500 beds and higher)</t>
  </si>
  <si>
    <t>Calculations for small health-care facilities (HCF)</t>
  </si>
  <si>
    <t>Basic Calculations</t>
  </si>
  <si>
    <t>Calculations for medium health-care facilities (HCF)</t>
  </si>
  <si>
    <t>User Input</t>
  </si>
  <si>
    <t>Default Value</t>
  </si>
  <si>
    <t xml:space="preserve">User Input </t>
  </si>
  <si>
    <t>Average staff per bed for medium &amp; large HCFs</t>
  </si>
  <si>
    <t>Total facility-level recurrent costs for a medium cluster</t>
  </si>
  <si>
    <t>Total facility-level recurrent costs for all medium clusters</t>
  </si>
  <si>
    <t>Calculations: cluster-level annual capital costs for the cluster</t>
  </si>
  <si>
    <t>Calculations: annual cluster-level recurrent costs</t>
  </si>
  <si>
    <t>Number of 8 hour shifts in treatment facility</t>
  </si>
  <si>
    <t>shift/day</t>
  </si>
  <si>
    <t>1 to 3</t>
  </si>
  <si>
    <t>Transport vehicle</t>
  </si>
  <si>
    <t>Facility construction</t>
  </si>
  <si>
    <t>Facility construction cost for medium clusters</t>
  </si>
  <si>
    <t>Total cluster-level annual capital costs for a medium cluster</t>
  </si>
  <si>
    <t>Total annual cluster-level capital costs for all medium clusters</t>
  </si>
  <si>
    <t>workers/shift</t>
  </si>
  <si>
    <t>Number of workers per shift in treatment facility (excluding cleaner)</t>
  </si>
  <si>
    <t>Wages for WMO and facility manager</t>
  </si>
  <si>
    <t>$/tonne</t>
  </si>
  <si>
    <t>tonnes/yr</t>
  </si>
  <si>
    <t>containers/facility</t>
  </si>
  <si>
    <t>kg/yr</t>
  </si>
  <si>
    <t>Transportation (fuel, oil, etc.)</t>
  </si>
  <si>
    <t>$/day per vehicle</t>
  </si>
  <si>
    <t>Electrical use (125L or 340L autoclave)</t>
  </si>
  <si>
    <t>kWh/liter of waste</t>
  </si>
  <si>
    <t>Electrical use (medium shredder)</t>
  </si>
  <si>
    <t>Training for cluster personnel</t>
  </si>
  <si>
    <t>Training for small HCF or treatment operator</t>
  </si>
  <si>
    <t>Total cluster-level recurrent costs for a medium cluster</t>
  </si>
  <si>
    <t>Total cluster-level recurrent costs for all medium clusters</t>
  </si>
  <si>
    <t>boxes/yr</t>
  </si>
  <si>
    <t>Staff wages (manager)</t>
  </si>
  <si>
    <t>LARGE CLUSTER</t>
  </si>
  <si>
    <t>Option 1: Very large autoclave and shredder</t>
  </si>
  <si>
    <t>LARGE CLUSTERS</t>
  </si>
  <si>
    <t>MEDIUM CLUSTERS</t>
  </si>
  <si>
    <t>Number of large clusters in the country</t>
  </si>
  <si>
    <t>Total facility-level annual capital costs for a large cluster</t>
  </si>
  <si>
    <t>Total annual facility-level capital costs for all large clusters</t>
  </si>
  <si>
    <t>2300-liter autoclave</t>
  </si>
  <si>
    <t>Facility construction cost for large clusters</t>
  </si>
  <si>
    <t>Total recurrent costs at national level</t>
  </si>
  <si>
    <t>General</t>
  </si>
  <si>
    <t>Total annual capital costs for all medium HCFs</t>
  </si>
  <si>
    <t>Total annual costs for all small HCFs</t>
  </si>
  <si>
    <t>Total annual costs for all medium HCFs</t>
  </si>
  <si>
    <t>Total annual costs for all large Group A HCFs</t>
  </si>
  <si>
    <t>Total annual costs at national level</t>
  </si>
  <si>
    <t>Number of medium clusters in the country</t>
  </si>
  <si>
    <t>Calculations for treatment clusters or central treatment facilities</t>
  </si>
  <si>
    <t>Days of operation for treatment cluster or facility</t>
  </si>
  <si>
    <t>Wages for HCW worker and cleaner</t>
  </si>
  <si>
    <t>Training for small &amp; medium HCF</t>
  </si>
  <si>
    <t>Infectious waste generation in small HCFs</t>
  </si>
  <si>
    <t>liters/day</t>
  </si>
  <si>
    <t>Sharps waste generation in small HCFs</t>
  </si>
  <si>
    <t>MEDIUM CLUSTER</t>
  </si>
  <si>
    <t>Option 1: Large autoclave and shredder</t>
  </si>
  <si>
    <t>Average 15L bins per small HCF</t>
  </si>
  <si>
    <t>bins/facility</t>
  </si>
  <si>
    <t>Storage area for medium HCFs</t>
  </si>
  <si>
    <t>Storage area for large HCFs</t>
  </si>
  <si>
    <t>Calculations: facility-level annual capital costs for the cluster</t>
  </si>
  <si>
    <t>Total facility-level annual capital costs for a medium cluster</t>
  </si>
  <si>
    <t>Total annual facility-level capital costs for all medium clusters</t>
  </si>
  <si>
    <t>Calculations: annual facility-level recurrent costs</t>
  </si>
  <si>
    <t>Average 15L plastic bags per small HCF</t>
  </si>
  <si>
    <t>bag/day</t>
  </si>
  <si>
    <t>Days of operation for small HCF</t>
  </si>
  <si>
    <t>Days of operation for medium &amp; large HCF</t>
  </si>
  <si>
    <t>Average staff per small HCF</t>
  </si>
  <si>
    <t>staff/facility</t>
  </si>
  <si>
    <t>Training for medium &amp; large HCFs</t>
  </si>
  <si>
    <t>Training for small HCFs</t>
  </si>
  <si>
    <t>GROUP A</t>
  </si>
  <si>
    <t>Number of HCW worker per bed</t>
  </si>
  <si>
    <t>worker/bed</t>
  </si>
  <si>
    <t>Large storage area</t>
  </si>
  <si>
    <t>125-liter autoclave</t>
  </si>
  <si>
    <t>Reusable sharps containers</t>
  </si>
  <si>
    <t>containers/bed</t>
  </si>
  <si>
    <t>kWh</t>
  </si>
  <si>
    <t>Water use (125L autoclave)</t>
  </si>
  <si>
    <t>Staff wages (HCW worker)</t>
  </si>
  <si>
    <t>Wages for WMO</t>
  </si>
  <si>
    <t>Staff wages (Waste mgt officer)</t>
  </si>
  <si>
    <t>quarter-time</t>
  </si>
  <si>
    <t>full-time</t>
  </si>
  <si>
    <t>Total recurrent costs per medium HCF</t>
  </si>
  <si>
    <t>Total recurrent costs for all medium HCFs</t>
  </si>
  <si>
    <t>Total annual capital costs per large Group A HCF</t>
  </si>
  <si>
    <t>Total annual capital costs for all large Group A HCFs</t>
  </si>
  <si>
    <t>Total recurrent costs per large Group A HCF</t>
  </si>
  <si>
    <t>Total recurrent costs for all large Group A HCFs</t>
  </si>
  <si>
    <t>Incinerator (50 kg/hr)</t>
  </si>
  <si>
    <t>Notes</t>
  </si>
  <si>
    <t>GROUP B</t>
  </si>
  <si>
    <t>340-liter autoclave</t>
  </si>
  <si>
    <t>Water use (340L autoclave)</t>
  </si>
  <si>
    <t>Calculations for national level costs</t>
  </si>
  <si>
    <t>Wages for full-time staff</t>
  </si>
  <si>
    <t>$/yr</t>
  </si>
  <si>
    <t>Cost of office &amp; equipment</t>
  </si>
  <si>
    <t>life span (yr)</t>
  </si>
  <si>
    <t>$/set</t>
  </si>
  <si>
    <t>Set of informational materials</t>
  </si>
  <si>
    <t>$/trainer</t>
  </si>
  <si>
    <t>Number of national trainers</t>
  </si>
  <si>
    <t>Transportation for monitoring</t>
  </si>
  <si>
    <t>$/month</t>
  </si>
  <si>
    <t>National meetings, per diem</t>
  </si>
  <si>
    <t>$/year</t>
  </si>
  <si>
    <t>Minimum national full-time staff</t>
  </si>
  <si>
    <t>Additional national full-time staff</t>
  </si>
  <si>
    <t>trainers/total beds</t>
  </si>
  <si>
    <t>added staff/total beds</t>
  </si>
  <si>
    <t>Number of total beds in the country</t>
  </si>
  <si>
    <t>Sets of informational materials for small HCFs</t>
  </si>
  <si>
    <t>Sets of informational materials for medium HCFs</t>
  </si>
  <si>
    <t>Sets of informational materials for large Group A HCFs</t>
  </si>
  <si>
    <t>Sets of informational materials for large Group B HCFs</t>
  </si>
  <si>
    <t>Office and equipment</t>
  </si>
  <si>
    <t>Informational materials</t>
  </si>
  <si>
    <t>Total annual capital costs at national level</t>
  </si>
  <si>
    <t>Wages of national staff</t>
  </si>
  <si>
    <t>Annual "training of trainers"</t>
  </si>
  <si>
    <t>National meetings, per diem, etc.</t>
  </si>
  <si>
    <t>Training of trainers</t>
  </si>
  <si>
    <t>trainers</t>
  </si>
  <si>
    <t>Average number of staff per HCF</t>
  </si>
  <si>
    <t>Total recurrent costs per small HCF</t>
  </si>
  <si>
    <t>Total recurrent costs for all small HCFs</t>
  </si>
  <si>
    <t>Option 2</t>
  </si>
  <si>
    <t>staff/bed</t>
  </si>
  <si>
    <t>Average number of staff/bed</t>
  </si>
  <si>
    <t>Average number of beds per medium HCF</t>
  </si>
  <si>
    <t>Basic calculations</t>
  </si>
  <si>
    <t>Average amount of infectious waste per day per HCF</t>
  </si>
  <si>
    <t>kg/day per medium HCF</t>
  </si>
  <si>
    <t>Average volume of infectious waste per day per HCF</t>
  </si>
  <si>
    <t>liter/day per medium HCF</t>
  </si>
  <si>
    <t>50-liter bins</t>
  </si>
  <si>
    <t>Ratio of infectious to non-infectious waste</t>
  </si>
  <si>
    <t>240-liter wheeled bin</t>
  </si>
  <si>
    <t>Storage area</t>
  </si>
  <si>
    <t>Shelter for treatment system</t>
  </si>
  <si>
    <t>Total annual capital costs per medium HCF</t>
  </si>
  <si>
    <t>Total annual capital costs for all medim HCFs</t>
  </si>
  <si>
    <t>Average amount of sharps waste per day per HCF</t>
  </si>
  <si>
    <t>50-liter plastic bag</t>
  </si>
  <si>
    <t>half-time</t>
  </si>
  <si>
    <t>Electrical use (51L autoclave)</t>
  </si>
  <si>
    <t>Water use (51L autoclave)</t>
  </si>
  <si>
    <t>liter/100 liters waste</t>
  </si>
  <si>
    <t>liter/day</t>
  </si>
  <si>
    <t>$/liter diesel</t>
  </si>
  <si>
    <t>Average number of beds per large Group A HCF</t>
  </si>
  <si>
    <t>kg/day per large HCF</t>
  </si>
  <si>
    <t>liter/day per large HCF</t>
  </si>
  <si>
    <t>Value</t>
  </si>
  <si>
    <t>Unit</t>
  </si>
  <si>
    <t>$/cubic meter</t>
  </si>
  <si>
    <t>liter/cycle</t>
  </si>
  <si>
    <t>$/staff-year</t>
  </si>
  <si>
    <t>Assumptions</t>
  </si>
  <si>
    <t>Calculations: annual capital costs</t>
  </si>
  <si>
    <t>#</t>
  </si>
  <si>
    <t>Calculations: annual recurrent costs</t>
  </si>
  <si>
    <t>kg/bed-day</t>
  </si>
  <si>
    <t>$/day</t>
  </si>
  <si>
    <t>staff</t>
  </si>
  <si>
    <t>50-liter bin</t>
  </si>
  <si>
    <t>50-liter plastic bags</t>
  </si>
  <si>
    <t>$/bag</t>
  </si>
  <si>
    <t>Number of small HCFs</t>
  </si>
  <si>
    <t>Default value</t>
  </si>
  <si>
    <t>SMALL HEALTH CARE FACILITIES</t>
  </si>
  <si>
    <t>MEDIUM HEALTH CARE FACILITIES</t>
  </si>
  <si>
    <t>Number of medium HCFs</t>
  </si>
  <si>
    <t>kg/day</t>
  </si>
  <si>
    <t>LARGE HEALTH CARE FACILITIES</t>
  </si>
  <si>
    <t>Number of large Group A HCFs (100-499 beds)</t>
  </si>
  <si>
    <t>Infectious waste generation</t>
  </si>
  <si>
    <t>Sharps waste generation</t>
  </si>
  <si>
    <t>Days of operation</t>
  </si>
  <si>
    <t>days/year</t>
  </si>
  <si>
    <t>Discount rate</t>
  </si>
  <si>
    <t>fraction</t>
  </si>
  <si>
    <t>Cost of water &amp; sewage</t>
  </si>
  <si>
    <t>$</t>
  </si>
  <si>
    <t>Bulk density, infectious waste</t>
  </si>
  <si>
    <t>kg/liter</t>
  </si>
  <si>
    <t>Default</t>
  </si>
  <si>
    <t>General assumptions</t>
  </si>
  <si>
    <t xml:space="preserve">Personal protection equipment </t>
  </si>
  <si>
    <t>Lifespan (yrs)</t>
  </si>
  <si>
    <t>Simple autoclave shelter</t>
  </si>
  <si>
    <t>15-liter plastic bags</t>
  </si>
  <si>
    <t>15-liter bin</t>
  </si>
  <si>
    <t>15-liter plastic bag</t>
  </si>
  <si>
    <t>Wages for HCW worker</t>
  </si>
  <si>
    <t>Cost of electricity</t>
  </si>
  <si>
    <t>$/kWh</t>
  </si>
  <si>
    <t>Training (1 day per year)</t>
  </si>
  <si>
    <t>Item</t>
  </si>
  <si>
    <t>Unit price</t>
  </si>
  <si>
    <t>Quantity</t>
  </si>
  <si>
    <t>Lifespan</t>
  </si>
  <si>
    <t>Annual cost</t>
  </si>
  <si>
    <t>15-liter bins</t>
  </si>
  <si>
    <t>Personal protection equipment</t>
  </si>
  <si>
    <t>Option 1</t>
  </si>
  <si>
    <t>Total annual capital costs per small HCF</t>
  </si>
  <si>
    <t>Total annual capital costs for all small HCFs</t>
  </si>
  <si>
    <t>Weight of syringe</t>
  </si>
  <si>
    <t>kg/syringe</t>
  </si>
  <si>
    <t>Electricity</t>
  </si>
  <si>
    <t>Electrical use (24L autoclave)</t>
  </si>
  <si>
    <t>Water &amp; sewage</t>
  </si>
  <si>
    <t>Water use (24L autoclave)</t>
  </si>
  <si>
    <t>kWh/cycle</t>
  </si>
  <si>
    <t>Staff wages</t>
  </si>
  <si>
    <t>runs/day</t>
  </si>
  <si>
    <t>Maintenance</t>
  </si>
  <si>
    <t>fraction of capital cost</t>
  </si>
  <si>
    <t>% of capital cost</t>
  </si>
  <si>
    <t>Training</t>
  </si>
  <si>
    <t>staff/HCF</t>
  </si>
  <si>
    <t>INPUT SHEET</t>
  </si>
  <si>
    <t>Total annual costs for all medium clusters</t>
  </si>
  <si>
    <t>Total annual costs for all large clusters</t>
  </si>
  <si>
    <t>Decentralized (On-Site) Treatment</t>
  </si>
  <si>
    <t xml:space="preserve">    GRAND TOTAL ANNUAL COSTS (OPTION 1)</t>
  </si>
  <si>
    <t>Population of the country</t>
  </si>
  <si>
    <t>PERCENT OF ANNUAL NATIONAL HEALTH-CARE BUDGET: %</t>
  </si>
  <si>
    <t>Total infectious waste generation: kg per year</t>
  </si>
  <si>
    <t>Total health-care waste generation: kg per year</t>
  </si>
  <si>
    <t>Total sharps waste generation: kg per year</t>
  </si>
  <si>
    <t>Total sharps waste generation: syringes per year</t>
  </si>
  <si>
    <t>kg/year</t>
  </si>
  <si>
    <t>tonnes/year</t>
  </si>
  <si>
    <t>syringes/yr</t>
  </si>
  <si>
    <t>Average number of medium HCFs in a medium cluster</t>
  </si>
  <si>
    <t>Average total beds of medium HCFs in a medium cluster</t>
  </si>
  <si>
    <t>Average number of small HCFs in a large cluster</t>
  </si>
  <si>
    <t>Average number of medium HCFs in a large cluster</t>
  </si>
  <si>
    <t>Average total beds of medium HCFs in a large cluster</t>
  </si>
  <si>
    <t>Infectious waste generation per small HCF</t>
  </si>
  <si>
    <t>Sharps waste generation per small HCF</t>
  </si>
  <si>
    <t>$/yr (sharps only)</t>
  </si>
  <si>
    <t>Average total kilograms infectious waste per day in the cluster</t>
  </si>
  <si>
    <t>Average total kilograms infectious waste per year in the cluster</t>
  </si>
  <si>
    <t>Average total volume infectious waste per day in the cluster</t>
  </si>
  <si>
    <t>%</t>
  </si>
  <si>
    <t>/bed-yr</t>
  </si>
  <si>
    <t>/population-yr</t>
  </si>
  <si>
    <t>/kg</t>
  </si>
  <si>
    <t>/syringe</t>
  </si>
  <si>
    <t>/(bed+small HCF)-yr</t>
  </si>
  <si>
    <t xml:space="preserve">GRAND TOTAL ANNUAL COSTS PER BED </t>
  </si>
  <si>
    <t xml:space="preserve">GRAND TOTAL ANNUAL COSTS PER [BED+SMALL HCF] </t>
  </si>
  <si>
    <t xml:space="preserve">GRAND TOTAL ANNUAL COSTS PER CAPITA </t>
  </si>
  <si>
    <t>GRAND TOTAL COSTS PER KG INF WASTE</t>
  </si>
  <si>
    <t>GRAND TOTAL COSTS PER KG TOTAL WASTE</t>
  </si>
  <si>
    <t xml:space="preserve">TOTAL COSTS (SHARPS ONLY) PER KG SHARPS </t>
  </si>
  <si>
    <t>TOTAL COSTS (SHARPS ONLY) PER SYRINGE</t>
  </si>
  <si>
    <t xml:space="preserve">    GRAND TOTAL ANNUAL COSTS (OPTION 2)</t>
  </si>
  <si>
    <t>Content</t>
  </si>
  <si>
    <t>Section</t>
  </si>
  <si>
    <t>Level</t>
  </si>
  <si>
    <t>Introduction</t>
  </si>
  <si>
    <t>Provides basic information about this costing tool</t>
  </si>
  <si>
    <t>National</t>
  </si>
  <si>
    <t>Input</t>
  </si>
  <si>
    <t>Small HCFs</t>
  </si>
  <si>
    <t>Medium HCFs</t>
  </si>
  <si>
    <t>Large HCFs</t>
  </si>
  <si>
    <t>Clusters</t>
  </si>
  <si>
    <t>Results</t>
  </si>
  <si>
    <t>Facility level</t>
  </si>
  <si>
    <t>Cluster and facility levels</t>
  </si>
  <si>
    <t>National level</t>
  </si>
  <si>
    <t>Lists assumptions used in the costing tool</t>
  </si>
  <si>
    <t>Shows results of the calculations</t>
  </si>
  <si>
    <t>&gt;</t>
  </si>
  <si>
    <t>To access any of the above "chapters", click on the tabs below.</t>
  </si>
  <si>
    <t>We are interested in your comments and feedback !</t>
  </si>
  <si>
    <t>Contacts</t>
  </si>
  <si>
    <t>World Health Organization:  http://www.healthcarewaste.org    |      E-mail: hcwaste@who.int</t>
  </si>
  <si>
    <t>Disclaimer</t>
  </si>
  <si>
    <t>This spreadsheet has been prepared with the aim of creating a simple, useable tool that fits as closely as possible to field reality. The WHO nevertheless makes no warranty as to its fitness or accuracy, either for the purpose for which it has been developed or for any other purpose.</t>
  </si>
  <si>
    <t>Facility, cluster and national levels</t>
  </si>
  <si>
    <t>Send to WHO any comments and/or costing information you feel could help build up knowledge about field data.</t>
  </si>
  <si>
    <t>•</t>
  </si>
  <si>
    <t>A Rapid Assessment Tool (RAT) has also been developed by WHO to help gather essential data regarding HCWM practices and equipment in a given country. This tool should help determine priorities so that realistic objectives and appropriate strategies can be defined. It can be down-loaded from the www.healthcarewaste.org website.</t>
  </si>
  <si>
    <t>Who can/should use this costing tool ?</t>
  </si>
  <si>
    <t>How to use this costing tool ?</t>
  </si>
  <si>
    <t>Information &amp; Contacts</t>
  </si>
  <si>
    <t>To comment on this tool, please contact WHO: hcwaste@who.int</t>
  </si>
  <si>
    <t>Potential partners with international or regional outreach that are interested in advancing the agenda of safe HCWM and wish to cooperate in the further development and implementation of activities can contact WHO [E-mail: hcwaste@who.int]. Visit our web site www.healthcarewaste.org for additional information.</t>
  </si>
  <si>
    <t>HCWM • Expanded costing analysis tool</t>
  </si>
  <si>
    <t>General Data</t>
  </si>
  <si>
    <t>Annual national health-care budget ($)</t>
  </si>
  <si>
    <t>Capital cost assumptions</t>
  </si>
  <si>
    <t xml:space="preserve">Variable </t>
  </si>
  <si>
    <t>Recurrent cost assumptions</t>
  </si>
  <si>
    <t>No. of reusable sharps containers/bed</t>
  </si>
  <si>
    <t>Number of reusable sharps containers per small HCF</t>
  </si>
  <si>
    <t>The aim of this tool is to help estimate annual budgets that need to be allocated for HCWM.</t>
  </si>
  <si>
    <t>Basic approaches, assumptions and objectives</t>
  </si>
  <si>
    <t>Medium HCW shredder</t>
  </si>
  <si>
    <t>Large HCW shredder</t>
  </si>
  <si>
    <r>
      <t>Senior management personnel</t>
    </r>
    <r>
      <rPr>
        <sz val="9"/>
        <rFont val="Arial"/>
        <family val="2"/>
      </rPr>
      <t xml:space="preserve"> (or other trained personnel) responsible for the design, implementation, evaluation and updating of the national policy and plans for health care waste management constitute the primary audience of this costing toolbox.</t>
    </r>
  </si>
  <si>
    <r>
      <t>International experts</t>
    </r>
    <r>
      <rPr>
        <sz val="9"/>
        <rFont val="Arial"/>
        <family val="2"/>
      </rPr>
      <t xml:space="preserve"> will find this simple toolbox useful when asked for assistance to provide costing information linked to HCWM.</t>
    </r>
  </si>
  <si>
    <t>Enables user to input required data</t>
  </si>
  <si>
    <t>Calculates HCWM costs for small health-care facilities</t>
  </si>
  <si>
    <t>Calculates HCWM costs for medium health-care facilities</t>
  </si>
  <si>
    <t>Calculates HCWM costs for large health-care facilities</t>
  </si>
  <si>
    <t>Calculates HCWM costs for cluster or centralized treatment facilities</t>
  </si>
  <si>
    <t>Calculates HCWM costs at the national level</t>
  </si>
  <si>
    <t>Gross domestic product GDP ($)</t>
  </si>
  <si>
    <r>
      <t xml:space="preserve">   2)  </t>
    </r>
    <r>
      <rPr>
        <b/>
        <sz val="9"/>
        <color indexed="56"/>
        <rFont val="Arial"/>
        <family val="2"/>
      </rPr>
      <t>Light green shaded cells</t>
    </r>
    <r>
      <rPr>
        <b/>
        <sz val="9"/>
        <color indexed="58"/>
        <rFont val="Arial"/>
        <family val="2"/>
      </rPr>
      <t xml:space="preserve">: </t>
    </r>
    <r>
      <rPr>
        <sz val="9"/>
        <color indexed="58"/>
        <rFont val="Arial"/>
        <family val="2"/>
      </rPr>
      <t>these are required INPUT values and should be provided by the user.</t>
    </r>
  </si>
  <si>
    <t>PERCENT OF GROSS DOMESTIC PRODUCT: %</t>
  </si>
  <si>
    <t>Step 2: Review the assumptions and determine if they are appropriate for the conditions in the country or if country-specific data are available. In particular, country-specific data should be obtained for: wages of HCW workers, cleaners, waste management officers, treatment facility managers, and national staff; local costs of electricity, fuel, and water &amp; sewage; and, if centralized treatment is desired, the average daily cost of operating a transport vehicle, and landfill fees. Be sure to convert data to the correct units specified in the costing tool.</t>
  </si>
  <si>
    <t>Step 4: Obtain or compute the total number of beds in the country, overall population, annual national health-care budge and gross domestic product.</t>
  </si>
  <si>
    <t>Average transportation cost per day per vehicle (fuel, oil, driver, etc.)</t>
  </si>
  <si>
    <t>Average total sharps waste per day in the cluster</t>
  </si>
  <si>
    <t>Average total sharps waste per year in the cluster</t>
  </si>
  <si>
    <t>Number of full-time equivalent HCW workers in the cluster</t>
  </si>
  <si>
    <r>
      <t>Step 6: In the Assumption section and in the Assumptions portion at the beginning of each calculation section, replace any assumptions (</t>
    </r>
    <r>
      <rPr>
        <b/>
        <sz val="9"/>
        <color indexed="53"/>
        <rFont val="Arial"/>
        <family val="2"/>
      </rPr>
      <t>orange</t>
    </r>
    <r>
      <rPr>
        <sz val="9"/>
        <rFont val="Arial"/>
        <family val="2"/>
      </rPr>
      <t xml:space="preserve"> values) with more appropriate or country-specific data, if available. Then, in the Input section, input the data obtained in Steps 2 to 4. Be sure NOT to include data for HCFs served by clusters (centralized treatment) in the section for on-site (decentralized) treatment. Important: Set all  variables that are not used in the Input section to zero. For example, if there are no large  clusters, be sure to set all the numbers related to large clusters (from C30 to C35 in the Input section) to zero. Here's a short description of the color code:</t>
    </r>
  </si>
  <si>
    <t>Air pollution control for medium incinerator</t>
  </si>
  <si>
    <t>Cost of air pollution control/medium incinerator</t>
  </si>
  <si>
    <t>Cost of emission testing for large incinerator</t>
  </si>
  <si>
    <t>Emission monitoring system/large incinerator</t>
  </si>
  <si>
    <t>Air pollution control &amp; monitoring devices (international std)</t>
  </si>
  <si>
    <t>Cost of periodic stack testing</t>
  </si>
  <si>
    <t>of cap. cost</t>
  </si>
  <si>
    <t>$/container</t>
  </si>
  <si>
    <t>Plastic sharps container (5L)</t>
  </si>
  <si>
    <t>Plastic sharps containers</t>
  </si>
  <si>
    <t>Autoclave test indicators</t>
  </si>
  <si>
    <t>test/day</t>
  </si>
  <si>
    <t>Test indicators</t>
  </si>
  <si>
    <t>$/indicator</t>
  </si>
  <si>
    <t>Small incubator kit for validation testing</t>
  </si>
  <si>
    <t>tests/day</t>
  </si>
  <si>
    <t>Validation testing</t>
  </si>
  <si>
    <t>Validation testing for autoclaves</t>
  </si>
  <si>
    <t>Average number of small HCFs in a medium cluster</t>
  </si>
  <si>
    <t>Cost of LPG gas</t>
  </si>
  <si>
    <t>$/kg gas</t>
  </si>
  <si>
    <t>No. of reusable sharps containers/bed for medium &amp; large HCF</t>
  </si>
  <si>
    <t>% of cap. cost</t>
  </si>
  <si>
    <t>Allocating insufficient financial resources to manage HCW properly has an even greater financial cost in the medium and long term in terms of morbidity and mortality as well as environmental damage, that will, in the end, impact negatively on peoples’ health.</t>
  </si>
  <si>
    <t>Total annual capital costs for all small HCFs (Option 1)</t>
  </si>
  <si>
    <t>Total recurrent costs for all small HCFs (Option 1)</t>
  </si>
  <si>
    <t>Total annual costs for all small HCFs (Option 1)</t>
  </si>
  <si>
    <t>Hauling cost for domestic waste</t>
  </si>
  <si>
    <t>Landfill cost for domestic waste</t>
  </si>
  <si>
    <t>$/ton</t>
  </si>
  <si>
    <t>Hauling and landfilling</t>
  </si>
  <si>
    <t>5L plastic sharps containers</t>
  </si>
  <si>
    <t>Weight of 5L plastic sharps container</t>
  </si>
  <si>
    <t>kg</t>
  </si>
  <si>
    <t>per year</t>
  </si>
  <si>
    <t>Small autoclave or microwave</t>
  </si>
  <si>
    <t>Shelter for autoclave or microwave</t>
  </si>
  <si>
    <t>Option 1 or 3</t>
  </si>
  <si>
    <t>$/kg</t>
  </si>
  <si>
    <t>Hauling/disposal cost - chemical hazardous waste</t>
  </si>
  <si>
    <t>Ratio of chemical to non-infectious waste</t>
  </si>
  <si>
    <t>syringes/5L container</t>
  </si>
  <si>
    <t>Capacity of 5L sharps container</t>
  </si>
  <si>
    <t>Average amount of chemical waste per day per HCF*</t>
  </si>
  <si>
    <t xml:space="preserve">  * excluding incinerator ash</t>
  </si>
  <si>
    <t>Medium size autoclave</t>
  </si>
  <si>
    <t>Hauling/disposal of chemical waste</t>
  </si>
  <si>
    <t>Option 3</t>
  </si>
  <si>
    <t>Medium size microwave</t>
  </si>
  <si>
    <t>Medium microwave</t>
  </si>
  <si>
    <t>Electrical use (medium microwave)</t>
  </si>
  <si>
    <t xml:space="preserve">kWh/cycle </t>
  </si>
  <si>
    <t>Medium size autoclave (260 liters)</t>
  </si>
  <si>
    <t>Water use (medium microwave)</t>
  </si>
  <si>
    <t>liters/cycle</t>
  </si>
  <si>
    <t>Medium size autoclave (260 liter)</t>
  </si>
  <si>
    <t>kWh/day</t>
  </si>
  <si>
    <t>The ECAT allows multiple treatment approaches: (1) treatment of waste on site at the health care facilities (that is, decentralized or on-site treatment); (2) treatment of waste at central facilities or large hospitals to which waste from a cluster of health care facilities send their waste (that is, centralized or cluster treatment); and (3) a combination of the above. Treatment can take place at small and medium HCFs, large HCFs (100 to 499 beds, or "Group A" facilities), very large HCFs (500 beds or more, or "Group B" facilities), medium-size clusters (treating between 300 to 1000 kg/day), large clusters (treating more than 1000 kg/day), or any combination of these. The ECAT also allows several treatment technology options: Option 1 - autoclave or autoclave/shredding and disposal in sanitary landfills; Option 2 - incineration and ash disposal in hazardous waste landfills for large, very large and clusters/centralized facilities, plus Option 1 for small and medium facilities; Option 3 - microwave treatment and disposal in sanitary landfills; and Option 4 - advanced steam treatment and disposal in sanitary landfills for large, very large and cluster/central facilities, plus Option 1 for small and medium facilities. All incinerators meet international standards. There is no incineration in small and medium health-care facilities. For large and very large facilities and clusters, shredded plastic sharps waste are re-melted.</t>
  </si>
  <si>
    <t>Potential revenues for all large HCFs:</t>
  </si>
  <si>
    <t xml:space="preserve">Estimate of potential revenues from </t>
  </si>
  <si>
    <t>Annual revenues</t>
  </si>
  <si>
    <t xml:space="preserve">  sale of plastics for re-melting</t>
  </si>
  <si>
    <t>Air pollution control</t>
  </si>
  <si>
    <t>Medium-size incinerator (50kg/h)</t>
  </si>
  <si>
    <t>Emission monitoring system</t>
  </si>
  <si>
    <t>Hauling/disposal of ash &amp; chemical waste</t>
  </si>
  <si>
    <t>Fuel cost</t>
  </si>
  <si>
    <t>liters/hr</t>
  </si>
  <si>
    <t>Fuel use - diesel (50 kg/hr incinerator)</t>
  </si>
  <si>
    <t>liters/yr</t>
  </si>
  <si>
    <t>Incinerator (150 kg/hr)</t>
  </si>
  <si>
    <t>Medium large incinerator (150 kg/hr)</t>
  </si>
  <si>
    <t>Air pollution control for medium large incinerator</t>
  </si>
  <si>
    <t>Cost of air pollution control/medium-large incinerator</t>
  </si>
  <si>
    <t>Fuel usage - diesel</t>
  </si>
  <si>
    <t>Fuel use - diesel (150 kg/hr incinerator)</t>
  </si>
  <si>
    <t>Option 4</t>
  </si>
  <si>
    <t>Electrical use (advanced steam 300 l/cycle)</t>
  </si>
  <si>
    <t>Water use (advanced steam 300 l/cycle)</t>
  </si>
  <si>
    <t>Electrical use (advanced steam 1000 l/cycle)</t>
  </si>
  <si>
    <t>Water use (advanced steam 1000 l/cycle)</t>
  </si>
  <si>
    <t xml:space="preserve">Option 1: </t>
  </si>
  <si>
    <t>Autoclave-Shredder</t>
  </si>
  <si>
    <t>Incinerator with Pollution Control</t>
  </si>
  <si>
    <t>Microwave Treatment</t>
  </si>
  <si>
    <t>Advanced Steam Treatment</t>
  </si>
  <si>
    <t>1200-liter autoclave</t>
  </si>
  <si>
    <t>Option 2: Large incinerator with pollution control</t>
  </si>
  <si>
    <t>Option 2: Very large incinerator with pollution control</t>
  </si>
  <si>
    <t>Hauling/landfilling for medium &amp; large HCFs</t>
  </si>
  <si>
    <t>Hauling/disposal of chem waste for medium &amp; large HCFs</t>
  </si>
  <si>
    <t>Fuel use - diesel (350 kg/hr incinerator)</t>
  </si>
  <si>
    <t>Option 3: Large Microwave</t>
  </si>
  <si>
    <t>Option 3: Very large microwave</t>
  </si>
  <si>
    <t>Large microwave (140 kg/hr)</t>
  </si>
  <si>
    <t>Very large microwave (330 kg/hr)</t>
  </si>
  <si>
    <t>Electrical use (large microwaves)</t>
  </si>
  <si>
    <t>kWh/kg of waste</t>
  </si>
  <si>
    <t>kWh/yr</t>
  </si>
  <si>
    <t>Option 4: Advanced steam treatment</t>
  </si>
  <si>
    <t>Advanced steam system (300 liters/cycle) including installation and site preparation</t>
  </si>
  <si>
    <t>Advanced steam system (1000 liters/cycle) including installation and site preparation</t>
  </si>
  <si>
    <t>Advanced steam system (2000 liters/cycle) including installation and site preparation</t>
  </si>
  <si>
    <t>Hauling and landfill disposal</t>
  </si>
  <si>
    <t>Hauling &amp; disposal of ash as hazardous waste</t>
  </si>
  <si>
    <t>Air pollution control for large incinerator</t>
  </si>
  <si>
    <t>TOTAL Revenues from small, medium and large HCFs:</t>
  </si>
  <si>
    <t>Revenues from sale of plastics for re-melting</t>
  </si>
  <si>
    <t xml:space="preserve"> for all HCFs and central facilities</t>
  </si>
  <si>
    <t xml:space="preserve"> autoclaves-shredders for all HCFs and central facilities</t>
  </si>
  <si>
    <r>
      <t xml:space="preserve">Option 1: </t>
    </r>
    <r>
      <rPr>
        <b/>
        <sz val="10"/>
        <color indexed="9"/>
        <rFont val="Arial"/>
        <family val="2"/>
      </rPr>
      <t xml:space="preserve">Small to very large autoclaves or </t>
    </r>
  </si>
  <si>
    <r>
      <t>Option 2:</t>
    </r>
    <r>
      <rPr>
        <b/>
        <sz val="10"/>
        <color indexed="9"/>
        <rFont val="Arial"/>
        <family val="2"/>
      </rPr>
      <t xml:space="preserve"> Incinerators with pollution control - large, very</t>
    </r>
  </si>
  <si>
    <r>
      <t xml:space="preserve"> large &amp; central facilities; </t>
    </r>
    <r>
      <rPr>
        <b/>
        <sz val="12"/>
        <color indexed="9"/>
        <rFont val="Arial"/>
        <family val="2"/>
      </rPr>
      <t xml:space="preserve">Option 1 </t>
    </r>
    <r>
      <rPr>
        <b/>
        <sz val="10"/>
        <color indexed="9"/>
        <rFont val="Arial"/>
        <family val="2"/>
      </rPr>
      <t>- small &amp; medium HCFs</t>
    </r>
  </si>
  <si>
    <r>
      <t xml:space="preserve">Option 3: </t>
    </r>
    <r>
      <rPr>
        <b/>
        <sz val="10"/>
        <color indexed="9"/>
        <rFont val="Arial"/>
        <family val="2"/>
      </rPr>
      <t>Small to very large microwave systems</t>
    </r>
  </si>
  <si>
    <r>
      <t>Option 4:</t>
    </r>
    <r>
      <rPr>
        <b/>
        <sz val="10"/>
        <color indexed="9"/>
        <rFont val="Arial"/>
        <family val="2"/>
      </rPr>
      <t xml:space="preserve"> Advanced steam systems for large, very large,</t>
    </r>
  </si>
  <si>
    <t>Small to medium autoclaves for small and medium HCFs; medium to very large autoclaves-shredders for large and very large HCFs and central (cluster) facilities</t>
  </si>
  <si>
    <t>Incinerators with pollution control for large and very large HCFs and central (cluster) facilities; small to medium autoclaves for small and medium HCFs</t>
  </si>
  <si>
    <t>Advanced steam systems for large and very large HCFs and central (cluster) facilities; small to medium autoclaves for small and medium HCFs</t>
  </si>
  <si>
    <t>Annual Revenue</t>
  </si>
  <si>
    <t>Sale of plastics</t>
  </si>
  <si>
    <t>Indicative values for option 4</t>
  </si>
  <si>
    <t>Indicative values for option 3</t>
  </si>
  <si>
    <t>Health-care waste management • Expanded Costing Analysis Tool (ECAT) - H</t>
  </si>
  <si>
    <t>For high-income countries</t>
  </si>
  <si>
    <r>
      <t xml:space="preserve"> &amp; central facilities; </t>
    </r>
    <r>
      <rPr>
        <b/>
        <sz val="12"/>
        <color indexed="9"/>
        <rFont val="Arial"/>
        <family val="2"/>
      </rPr>
      <t xml:space="preserve">Option 1 </t>
    </r>
    <r>
      <rPr>
        <b/>
        <sz val="10"/>
        <color indexed="9"/>
        <rFont val="Arial"/>
        <family val="2"/>
      </rPr>
      <t>for small &amp; medium HCFs</t>
    </r>
  </si>
  <si>
    <t>Small to very large microwave systems for small, medium, large and very large HCFs and central (cluster) facilities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</si>
</sst>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sFr&quot;#,##0;\-&quot;sFr&quot;#,##0"/>
    <numFmt numFmtId="174" formatCode="&quot;sFr&quot;#,##0;[Red]\-&quot;sFr&quot;#,##0"/>
    <numFmt numFmtId="175" formatCode="&quot;sFr&quot;#,##0.00;\-&quot;sFr&quot;#,##0.00"/>
    <numFmt numFmtId="176" formatCode="&quot;sFr&quot;#,##0.00;[Red]\-&quot;sFr&quot;#,##0.00"/>
    <numFmt numFmtId="177" formatCode="_-&quot;sFr&quot;* #,##0_-;\-&quot;sFr&quot;* #,##0_-;_-&quot;sFr&quot;* &quot;-&quot;_-;_-@_-"/>
    <numFmt numFmtId="178" formatCode="_-&quot;sFr&quot;* #,##0.00_-;\-&quot;sFr&quot;* #,##0.00_-;_-&quot;sFr&quot;* &quot;-&quot;??_-;_-@_-"/>
    <numFmt numFmtId="179" formatCode="&quot;Fr &quot;#,##0;\-&quot;Fr &quot;#,##0"/>
    <numFmt numFmtId="180" formatCode="&quot;Fr &quot;#,##0;[Red]\-&quot;Fr &quot;#,##0"/>
    <numFmt numFmtId="181" formatCode="&quot;Fr &quot;#,##0.00;\-&quot;Fr &quot;#,##0.00"/>
    <numFmt numFmtId="182" formatCode="&quot;Fr &quot;#,##0.00;[Red]\-&quot;Fr &quot;#,##0.00"/>
    <numFmt numFmtId="183" formatCode="_-&quot;Fr &quot;* #,##0_-;\-&quot;Fr &quot;* #,##0_-;_-&quot;Fr &quot;* &quot;-&quot;_-;_-@_-"/>
    <numFmt numFmtId="184" formatCode="_-&quot;Fr &quot;* #,##0.00_-;\-&quot;Fr &quot;* #,##0.00_-;_-&quot;Fr &quot;* &quot;-&quot;??_-;_-@_-"/>
    <numFmt numFmtId="185" formatCode="#,##0\ &quot;F&quot;;\-#,##0\ &quot;F&quot;"/>
    <numFmt numFmtId="186" formatCode="#,##0\ &quot;F&quot;;[Red]\-#,##0\ &quot;F&quot;"/>
    <numFmt numFmtId="187" formatCode="#,##0.00\ &quot;F&quot;;\-#,##0.00\ &quot;F&quot;"/>
    <numFmt numFmtId="188" formatCode="#,##0.00\ &quot;F&quot;;[Red]\-#,##0.00\ &quot;F&quot;"/>
    <numFmt numFmtId="189" formatCode="_-* #,##0\ &quot;F&quot;_-;\-* #,##0\ &quot;F&quot;_-;_-* &quot;-&quot;\ &quot;F&quot;_-;_-@_-"/>
    <numFmt numFmtId="190" formatCode="_-* #,##0\ _F_-;\-* #,##0\ _F_-;_-* &quot;-&quot;\ _F_-;_-@_-"/>
    <numFmt numFmtId="191" formatCode="_-* #,##0.00\ &quot;F&quot;_-;\-* #,##0.00\ &quot;F&quot;_-;_-* &quot;-&quot;??\ &quot;F&quot;_-;_-@_-"/>
    <numFmt numFmtId="192" formatCode="_-* #,##0.00\ _F_-;\-* #,##0.00\ _F_-;_-* &quot;-&quot;??\ _F_-;_-@_-"/>
    <numFmt numFmtId="193" formatCode="&quot;.&quot;\ \ "/>
    <numFmt numFmtId="194" formatCode="0&quot;.&quot;\ \ "/>
    <numFmt numFmtId="195" formatCode="dddd\ dd/mm/yyyy"/>
    <numFmt numFmtId="196" formatCode="dddd\ d\ mmmm"/>
    <numFmt numFmtId="197" formatCode="0.000000000000000%"/>
    <numFmt numFmtId="198" formatCode="#,##0.0"/>
    <numFmt numFmtId="199" formatCode="0.0%"/>
    <numFmt numFmtId="200" formatCode="0.0"/>
    <numFmt numFmtId="201" formatCode="#,##0.0&quot;0&quot;"/>
    <numFmt numFmtId="202" formatCode="#,##0.000000000000"/>
    <numFmt numFmtId="203" formatCode="&quot;$&quot;#,##0"/>
    <numFmt numFmtId="204" formatCode="#,##0.00000"/>
    <numFmt numFmtId="205" formatCode="#,##0.0000"/>
    <numFmt numFmtId="206" formatCode="0.000"/>
    <numFmt numFmtId="207" formatCode="#,##0.000"/>
  </numFmts>
  <fonts count="39">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2"/>
      <name val="Symbol"/>
      <family val="1"/>
    </font>
    <font>
      <b/>
      <sz val="10"/>
      <name val="Arial"/>
      <family val="0"/>
    </font>
    <font>
      <b/>
      <sz val="12"/>
      <name val="Arial"/>
      <family val="2"/>
    </font>
    <font>
      <sz val="10"/>
      <color indexed="16"/>
      <name val="Arial"/>
      <family val="0"/>
    </font>
    <font>
      <b/>
      <sz val="11"/>
      <name val="Arial"/>
      <family val="0"/>
    </font>
    <font>
      <b/>
      <sz val="14"/>
      <name val="Arial"/>
      <family val="0"/>
    </font>
    <font>
      <sz val="11"/>
      <name val="Arial"/>
      <family val="0"/>
    </font>
    <font>
      <b/>
      <sz val="14"/>
      <color indexed="9"/>
      <name val="Arial"/>
      <family val="0"/>
    </font>
    <font>
      <b/>
      <sz val="12"/>
      <color indexed="9"/>
      <name val="Arial"/>
      <family val="0"/>
    </font>
    <font>
      <sz val="10"/>
      <color indexed="9"/>
      <name val="Arial"/>
      <family val="0"/>
    </font>
    <font>
      <sz val="12"/>
      <name val="Arial"/>
      <family val="0"/>
    </font>
    <font>
      <sz val="11"/>
      <color indexed="9"/>
      <name val="Arial"/>
      <family val="0"/>
    </font>
    <font>
      <sz val="12"/>
      <color indexed="9"/>
      <name val="Arial"/>
      <family val="0"/>
    </font>
    <font>
      <b/>
      <sz val="13"/>
      <name val="Arial"/>
      <family val="0"/>
    </font>
    <font>
      <sz val="13"/>
      <name val="Arial"/>
      <family val="0"/>
    </font>
    <font>
      <b/>
      <sz val="13"/>
      <name val="Times New Roman"/>
      <family val="1"/>
    </font>
    <font>
      <b/>
      <sz val="11"/>
      <color indexed="9"/>
      <name val="Arial"/>
      <family val="0"/>
    </font>
    <font>
      <b/>
      <sz val="13"/>
      <color indexed="9"/>
      <name val="Arial"/>
      <family val="0"/>
    </font>
    <font>
      <sz val="13"/>
      <color indexed="9"/>
      <name val="Arial"/>
      <family val="0"/>
    </font>
    <font>
      <b/>
      <sz val="18"/>
      <name val="Arial"/>
      <family val="2"/>
    </font>
    <font>
      <i/>
      <sz val="10"/>
      <name val="Arial"/>
      <family val="2"/>
    </font>
    <font>
      <sz val="9"/>
      <name val="Arial"/>
      <family val="2"/>
    </font>
    <font>
      <i/>
      <sz val="9"/>
      <name val="Arial"/>
      <family val="0"/>
    </font>
    <font>
      <b/>
      <sz val="9"/>
      <color indexed="52"/>
      <name val="Arial"/>
      <family val="0"/>
    </font>
    <font>
      <b/>
      <sz val="10"/>
      <color indexed="56"/>
      <name val="Arial"/>
      <family val="0"/>
    </font>
    <font>
      <b/>
      <sz val="10"/>
      <color indexed="53"/>
      <name val="Arial"/>
      <family val="2"/>
    </font>
    <font>
      <sz val="10"/>
      <color indexed="8"/>
      <name val="Arial"/>
      <family val="0"/>
    </font>
    <font>
      <b/>
      <sz val="9"/>
      <color indexed="53"/>
      <name val="Arial"/>
      <family val="2"/>
    </font>
    <font>
      <b/>
      <sz val="9"/>
      <color indexed="58"/>
      <name val="Arial"/>
      <family val="2"/>
    </font>
    <font>
      <sz val="9"/>
      <color indexed="58"/>
      <name val="Arial"/>
      <family val="2"/>
    </font>
    <font>
      <sz val="10"/>
      <color indexed="58"/>
      <name val="Arial"/>
      <family val="0"/>
    </font>
    <font>
      <b/>
      <sz val="9"/>
      <color indexed="56"/>
      <name val="Arial"/>
      <family val="2"/>
    </font>
    <font>
      <b/>
      <sz val="10"/>
      <color indexed="9"/>
      <name val="Arial"/>
      <family val="2"/>
    </font>
    <font>
      <b/>
      <sz val="9"/>
      <name val="Arial"/>
      <family val="0"/>
    </font>
  </fonts>
  <fills count="26">
    <fill>
      <patternFill/>
    </fill>
    <fill>
      <patternFill patternType="gray125"/>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6"/>
        <bgColor indexed="64"/>
      </patternFill>
    </fill>
    <fill>
      <patternFill patternType="solid">
        <fgColor indexed="20"/>
        <bgColor indexed="64"/>
      </patternFill>
    </fill>
    <fill>
      <patternFill patternType="solid">
        <fgColor indexed="23"/>
        <bgColor indexed="64"/>
      </patternFill>
    </fill>
    <fill>
      <patternFill patternType="solid">
        <fgColor indexed="45"/>
        <bgColor indexed="64"/>
      </patternFill>
    </fill>
    <fill>
      <patternFill patternType="solid">
        <fgColor indexed="60"/>
        <bgColor indexed="64"/>
      </patternFill>
    </fill>
    <fill>
      <patternFill patternType="solid">
        <fgColor indexed="63"/>
        <bgColor indexed="64"/>
      </patternFill>
    </fill>
    <fill>
      <patternFill patternType="solid">
        <fgColor indexed="61"/>
        <bgColor indexed="64"/>
      </patternFill>
    </fill>
    <fill>
      <patternFill patternType="solid">
        <fgColor indexed="18"/>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14"/>
        <bgColor indexed="64"/>
      </patternFill>
    </fill>
    <fill>
      <patternFill patternType="solid">
        <fgColor indexed="55"/>
        <bgColor indexed="64"/>
      </patternFill>
    </fill>
    <fill>
      <patternFill patternType="solid">
        <fgColor indexed="42"/>
        <bgColor indexed="64"/>
      </patternFill>
    </fill>
    <fill>
      <patternFill patternType="solid">
        <fgColor indexed="19"/>
        <bgColor indexed="64"/>
      </patternFill>
    </fill>
    <fill>
      <patternFill patternType="solid">
        <fgColor indexed="13"/>
        <bgColor indexed="64"/>
      </patternFill>
    </fill>
    <fill>
      <patternFill patternType="solid">
        <fgColor indexed="53"/>
        <bgColor indexed="64"/>
      </patternFill>
    </fill>
  </fills>
  <borders count="79">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thin"/>
    </border>
    <border>
      <left>
        <color indexed="63"/>
      </left>
      <right style="thin"/>
      <top style="medium"/>
      <bottom style="medium"/>
    </border>
    <border>
      <left style="medium"/>
      <right>
        <color indexed="63"/>
      </right>
      <top style="medium"/>
      <bottom>
        <color indexed="63"/>
      </bottom>
    </border>
    <border>
      <left style="medium"/>
      <right style="thin"/>
      <top style="medium"/>
      <bottom style="thin"/>
    </border>
    <border>
      <left style="medium"/>
      <right style="thin"/>
      <top>
        <color indexed="63"/>
      </top>
      <bottom style="thin"/>
    </border>
    <border>
      <left style="medium"/>
      <right style="thin"/>
      <top style="medium"/>
      <bottom style="medium"/>
    </border>
    <border>
      <left style="medium"/>
      <right>
        <color indexed="63"/>
      </right>
      <top style="medium"/>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style="thin"/>
    </border>
    <border>
      <left style="medium"/>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medium"/>
      <right>
        <color indexed="63"/>
      </right>
      <top style="thin"/>
      <bottom style="double"/>
    </border>
    <border>
      <left>
        <color indexed="63"/>
      </left>
      <right>
        <color indexed="63"/>
      </right>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medium"/>
      <top style="thin"/>
      <bottom style="double"/>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thin"/>
    </border>
    <border>
      <left style="thin"/>
      <right>
        <color indexed="63"/>
      </right>
      <top style="thin"/>
      <bottom style="medium"/>
    </border>
    <border>
      <left style="thin"/>
      <right>
        <color indexed="63"/>
      </right>
      <top style="medium"/>
      <bottom style="medium"/>
    </border>
    <border>
      <left style="medium"/>
      <right style="medium"/>
      <top style="medium"/>
      <bottom style="medium"/>
    </border>
    <border>
      <left style="thin"/>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medium"/>
      <right style="thin"/>
      <top style="thin"/>
      <bottom>
        <color indexed="63"/>
      </bottom>
    </border>
    <border>
      <left>
        <color indexed="63"/>
      </left>
      <right>
        <color indexed="63"/>
      </right>
      <top style="mediumDashDot"/>
      <bottom>
        <color indexed="63"/>
      </bottom>
    </border>
    <border>
      <left>
        <color indexed="63"/>
      </left>
      <right>
        <color indexed="63"/>
      </right>
      <top style="mediumDashDot"/>
      <bottom style="medium"/>
    </border>
    <border>
      <left>
        <color indexed="63"/>
      </left>
      <right style="thin"/>
      <top style="mediumDashDot"/>
      <bottom>
        <color indexed="63"/>
      </bottom>
    </border>
    <border>
      <left style="thin"/>
      <right>
        <color indexed="63"/>
      </right>
      <top style="mediumDashDot"/>
      <bottom>
        <color indexed="63"/>
      </botto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8">
    <xf numFmtId="0" fontId="0" fillId="0" borderId="0" xfId="0" applyAlignment="1">
      <alignment/>
    </xf>
    <xf numFmtId="0" fontId="4" fillId="0" borderId="0" xfId="0" applyFont="1" applyAlignment="1">
      <alignment/>
    </xf>
    <xf numFmtId="0" fontId="5" fillId="0" borderId="0" xfId="0" applyFont="1" applyAlignment="1">
      <alignment horizontal="left" indent="2"/>
    </xf>
    <xf numFmtId="0" fontId="6"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6" fillId="0" borderId="0" xfId="0" applyFont="1"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6" fillId="0" borderId="0"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2" borderId="13" xfId="0" applyFont="1" applyFill="1" applyBorder="1" applyAlignment="1">
      <alignment/>
    </xf>
    <xf numFmtId="0" fontId="9" fillId="0" borderId="0" xfId="0" applyFont="1" applyFill="1" applyBorder="1" applyAlignment="1">
      <alignment/>
    </xf>
    <xf numFmtId="0" fontId="11" fillId="3" borderId="14" xfId="0" applyFont="1" applyFill="1" applyBorder="1" applyAlignment="1">
      <alignment/>
    </xf>
    <xf numFmtId="0" fontId="11" fillId="3" borderId="15" xfId="0" applyFont="1" applyFill="1" applyBorder="1" applyAlignment="1">
      <alignment/>
    </xf>
    <xf numFmtId="0" fontId="11" fillId="0" borderId="0" xfId="0" applyFont="1" applyAlignment="1">
      <alignment/>
    </xf>
    <xf numFmtId="0" fontId="11" fillId="4" borderId="7" xfId="0" applyFont="1" applyFill="1" applyBorder="1" applyAlignment="1">
      <alignment/>
    </xf>
    <xf numFmtId="0" fontId="11" fillId="4" borderId="8" xfId="0" applyFont="1" applyFill="1" applyBorder="1" applyAlignment="1">
      <alignment/>
    </xf>
    <xf numFmtId="0" fontId="11" fillId="4" borderId="16" xfId="0" applyFont="1" applyFill="1" applyBorder="1" applyAlignment="1">
      <alignment/>
    </xf>
    <xf numFmtId="0" fontId="11" fillId="0" borderId="0" xfId="0" applyFont="1" applyFill="1" applyBorder="1" applyAlignment="1">
      <alignment/>
    </xf>
    <xf numFmtId="0" fontId="11" fillId="3" borderId="13" xfId="0" applyFont="1" applyFill="1" applyBorder="1" applyAlignment="1">
      <alignment/>
    </xf>
    <xf numFmtId="0" fontId="11" fillId="3" borderId="17" xfId="0" applyFont="1" applyFill="1" applyBorder="1" applyAlignment="1">
      <alignment/>
    </xf>
    <xf numFmtId="0" fontId="9" fillId="5" borderId="2" xfId="0" applyFont="1" applyFill="1" applyBorder="1" applyAlignment="1">
      <alignment/>
    </xf>
    <xf numFmtId="0" fontId="9" fillId="5" borderId="0" xfId="0" applyFont="1" applyFill="1" applyBorder="1" applyAlignment="1">
      <alignment/>
    </xf>
    <xf numFmtId="0" fontId="9" fillId="0" borderId="0" xfId="0" applyFont="1" applyAlignment="1">
      <alignment/>
    </xf>
    <xf numFmtId="0" fontId="9" fillId="5" borderId="18" xfId="0" applyFont="1" applyFill="1" applyBorder="1" applyAlignment="1">
      <alignment/>
    </xf>
    <xf numFmtId="0" fontId="9" fillId="5" borderId="19" xfId="0" applyFont="1" applyFill="1" applyBorder="1" applyAlignment="1">
      <alignment/>
    </xf>
    <xf numFmtId="0" fontId="11" fillId="0" borderId="1" xfId="0" applyFont="1" applyBorder="1" applyAlignment="1">
      <alignment/>
    </xf>
    <xf numFmtId="0" fontId="11" fillId="0" borderId="10" xfId="0" applyFont="1" applyBorder="1" applyAlignment="1">
      <alignment/>
    </xf>
    <xf numFmtId="0" fontId="11" fillId="0" borderId="0" xfId="0" applyFont="1" applyFill="1" applyAlignment="1">
      <alignment/>
    </xf>
    <xf numFmtId="203" fontId="9" fillId="0" borderId="0" xfId="0" applyNumberFormat="1" applyFont="1" applyFill="1" applyBorder="1" applyAlignment="1">
      <alignment/>
    </xf>
    <xf numFmtId="0" fontId="9" fillId="0" borderId="0" xfId="0" applyFont="1" applyFill="1" applyAlignment="1">
      <alignment/>
    </xf>
    <xf numFmtId="0" fontId="9" fillId="0" borderId="20" xfId="0" applyFont="1" applyFill="1" applyBorder="1" applyAlignment="1">
      <alignment/>
    </xf>
    <xf numFmtId="0" fontId="11" fillId="0" borderId="20" xfId="0" applyFont="1" applyFill="1" applyBorder="1" applyAlignment="1">
      <alignment/>
    </xf>
    <xf numFmtId="0" fontId="11" fillId="0" borderId="20" xfId="0" applyFont="1" applyBorder="1" applyAlignment="1">
      <alignment/>
    </xf>
    <xf numFmtId="0" fontId="9" fillId="0" borderId="20" xfId="0" applyFont="1" applyBorder="1" applyAlignment="1">
      <alignment/>
    </xf>
    <xf numFmtId="0" fontId="0" fillId="0" borderId="21" xfId="0" applyBorder="1" applyAlignment="1">
      <alignment/>
    </xf>
    <xf numFmtId="0" fontId="7" fillId="6" borderId="22" xfId="0" applyFont="1" applyFill="1" applyBorder="1" applyAlignment="1">
      <alignment/>
    </xf>
    <xf numFmtId="0" fontId="7" fillId="6" borderId="13" xfId="0" applyFont="1" applyFill="1" applyBorder="1" applyAlignment="1">
      <alignment/>
    </xf>
    <xf numFmtId="0" fontId="10" fillId="7" borderId="22" xfId="0" applyFont="1" applyFill="1" applyBorder="1" applyAlignment="1">
      <alignment/>
    </xf>
    <xf numFmtId="0" fontId="10" fillId="7" borderId="13"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1" fillId="5" borderId="14" xfId="0" applyFont="1" applyFill="1" applyBorder="1" applyAlignment="1">
      <alignment/>
    </xf>
    <xf numFmtId="0" fontId="11" fillId="5" borderId="27" xfId="0" applyFont="1" applyFill="1" applyBorder="1" applyAlignment="1">
      <alignment/>
    </xf>
    <xf numFmtId="170" fontId="10" fillId="7" borderId="13" xfId="17" applyFont="1" applyFill="1" applyBorder="1" applyAlignment="1">
      <alignment/>
    </xf>
    <xf numFmtId="170" fontId="7" fillId="6" borderId="13" xfId="17" applyFont="1" applyFill="1" applyBorder="1" applyAlignment="1">
      <alignment/>
    </xf>
    <xf numFmtId="170" fontId="7" fillId="0" borderId="0" xfId="17" applyFont="1" applyFill="1" applyBorder="1" applyAlignment="1">
      <alignment/>
    </xf>
    <xf numFmtId="170" fontId="9" fillId="5" borderId="3" xfId="17" applyFont="1" applyFill="1" applyBorder="1" applyAlignment="1">
      <alignment/>
    </xf>
    <xf numFmtId="170" fontId="7" fillId="2" borderId="13" xfId="17" applyFont="1" applyFill="1" applyBorder="1" applyAlignment="1">
      <alignment/>
    </xf>
    <xf numFmtId="170" fontId="6" fillId="0" borderId="0" xfId="17" applyFont="1" applyFill="1" applyBorder="1" applyAlignment="1">
      <alignment/>
    </xf>
    <xf numFmtId="170" fontId="11" fillId="4" borderId="16" xfId="17" applyFont="1" applyFill="1" applyBorder="1" applyAlignment="1">
      <alignment/>
    </xf>
    <xf numFmtId="170" fontId="9" fillId="5" borderId="28" xfId="17" applyFont="1" applyFill="1" applyBorder="1" applyAlignment="1">
      <alignment/>
    </xf>
    <xf numFmtId="170" fontId="9" fillId="0" borderId="0" xfId="17" applyFont="1" applyFill="1" applyBorder="1" applyAlignment="1">
      <alignment/>
    </xf>
    <xf numFmtId="170" fontId="11" fillId="0" borderId="10" xfId="17" applyFont="1" applyBorder="1" applyAlignment="1">
      <alignment/>
    </xf>
    <xf numFmtId="0" fontId="7" fillId="0" borderId="0" xfId="0" applyFont="1" applyBorder="1" applyAlignment="1">
      <alignment/>
    </xf>
    <xf numFmtId="0" fontId="7" fillId="0" borderId="1" xfId="0" applyFont="1" applyFill="1" applyBorder="1" applyAlignment="1">
      <alignment/>
    </xf>
    <xf numFmtId="0" fontId="11" fillId="8" borderId="7" xfId="0" applyFont="1" applyFill="1" applyBorder="1" applyAlignment="1">
      <alignment/>
    </xf>
    <xf numFmtId="0" fontId="11" fillId="8" borderId="8" xfId="0" applyFont="1" applyFill="1" applyBorder="1" applyAlignment="1">
      <alignment/>
    </xf>
    <xf numFmtId="0" fontId="0" fillId="0" borderId="29" xfId="0" applyBorder="1" applyAlignment="1">
      <alignment/>
    </xf>
    <xf numFmtId="170" fontId="8" fillId="0" borderId="16" xfId="17" applyFont="1" applyBorder="1" applyAlignment="1">
      <alignment/>
    </xf>
    <xf numFmtId="0" fontId="15" fillId="0" borderId="0" xfId="0" applyFont="1" applyFill="1" applyBorder="1" applyAlignment="1">
      <alignment/>
    </xf>
    <xf numFmtId="0" fontId="0" fillId="0" borderId="30" xfId="0" applyBorder="1" applyAlignment="1">
      <alignment/>
    </xf>
    <xf numFmtId="0" fontId="0" fillId="0" borderId="31" xfId="0" applyBorder="1" applyAlignment="1">
      <alignment/>
    </xf>
    <xf numFmtId="0" fontId="14" fillId="0" borderId="0" xfId="0" applyFont="1" applyFill="1" applyBorder="1" applyAlignment="1">
      <alignment/>
    </xf>
    <xf numFmtId="0" fontId="15" fillId="0" borderId="20" xfId="0" applyFont="1" applyFill="1" applyBorder="1" applyAlignment="1">
      <alignment/>
    </xf>
    <xf numFmtId="170" fontId="9" fillId="0" borderId="20" xfId="17" applyFont="1" applyFill="1" applyBorder="1" applyAlignment="1">
      <alignment/>
    </xf>
    <xf numFmtId="0" fontId="0" fillId="0" borderId="0" xfId="0" applyFont="1" applyAlignment="1">
      <alignment/>
    </xf>
    <xf numFmtId="0" fontId="0" fillId="0" borderId="20" xfId="0" applyFont="1" applyFill="1" applyBorder="1" applyAlignment="1">
      <alignment/>
    </xf>
    <xf numFmtId="0" fontId="0" fillId="0" borderId="0" xfId="0" applyFont="1" applyAlignment="1">
      <alignment/>
    </xf>
    <xf numFmtId="0" fontId="0" fillId="0" borderId="1" xfId="0" applyFont="1" applyBorder="1" applyAlignment="1">
      <alignment/>
    </xf>
    <xf numFmtId="0" fontId="0" fillId="0" borderId="10" xfId="0" applyFont="1" applyBorder="1" applyAlignment="1">
      <alignment/>
    </xf>
    <xf numFmtId="0" fontId="15" fillId="0" borderId="0" xfId="0" applyFont="1" applyAlignment="1">
      <alignment/>
    </xf>
    <xf numFmtId="0" fontId="15" fillId="9" borderId="13" xfId="0" applyFont="1" applyFill="1" applyBorder="1" applyAlignment="1">
      <alignment/>
    </xf>
    <xf numFmtId="0" fontId="15" fillId="9" borderId="17" xfId="0" applyFont="1" applyFill="1" applyBorder="1" applyAlignment="1">
      <alignment/>
    </xf>
    <xf numFmtId="0" fontId="17" fillId="10" borderId="13" xfId="0" applyFont="1" applyFill="1" applyBorder="1" applyAlignment="1">
      <alignment/>
    </xf>
    <xf numFmtId="0" fontId="15" fillId="10" borderId="13" xfId="0" applyFont="1" applyFill="1" applyBorder="1" applyAlignment="1">
      <alignment/>
    </xf>
    <xf numFmtId="0" fontId="15" fillId="10" borderId="17" xfId="0" applyFont="1" applyFill="1" applyBorder="1" applyAlignment="1">
      <alignment/>
    </xf>
    <xf numFmtId="0" fontId="15" fillId="0" borderId="1" xfId="0" applyFont="1" applyBorder="1" applyAlignment="1">
      <alignment/>
    </xf>
    <xf numFmtId="0" fontId="15" fillId="0" borderId="10" xfId="0" applyFont="1" applyBorder="1" applyAlignment="1">
      <alignment/>
    </xf>
    <xf numFmtId="0" fontId="15" fillId="11" borderId="17" xfId="0" applyFont="1" applyFill="1" applyBorder="1" applyAlignment="1">
      <alignment/>
    </xf>
    <xf numFmtId="0" fontId="15" fillId="5" borderId="1" xfId="0" applyFont="1" applyFill="1" applyBorder="1" applyAlignment="1">
      <alignment/>
    </xf>
    <xf numFmtId="0" fontId="18" fillId="12" borderId="22" xfId="0" applyFont="1" applyFill="1" applyBorder="1" applyAlignment="1">
      <alignment/>
    </xf>
    <xf numFmtId="0" fontId="19" fillId="12" borderId="13" xfId="0" applyFont="1" applyFill="1" applyBorder="1" applyAlignment="1">
      <alignment/>
    </xf>
    <xf numFmtId="0" fontId="15" fillId="0" borderId="0" xfId="0" applyFont="1" applyBorder="1" applyAlignment="1">
      <alignment/>
    </xf>
    <xf numFmtId="0" fontId="12" fillId="13" borderId="22" xfId="0" applyFont="1" applyFill="1" applyBorder="1" applyAlignment="1">
      <alignment/>
    </xf>
    <xf numFmtId="0" fontId="12" fillId="13" borderId="13" xfId="0" applyFont="1" applyFill="1" applyBorder="1" applyAlignment="1">
      <alignment/>
    </xf>
    <xf numFmtId="0" fontId="18" fillId="2" borderId="22" xfId="0" applyFont="1" applyFill="1" applyBorder="1" applyAlignment="1">
      <alignment/>
    </xf>
    <xf numFmtId="0" fontId="18" fillId="2" borderId="13" xfId="0" applyFont="1" applyFill="1" applyBorder="1" applyAlignment="1">
      <alignment/>
    </xf>
    <xf numFmtId="0" fontId="20" fillId="2" borderId="13" xfId="0" applyFont="1" applyFill="1" applyBorder="1" applyAlignment="1">
      <alignment/>
    </xf>
    <xf numFmtId="0" fontId="18" fillId="0" borderId="0" xfId="0" applyFont="1" applyFill="1" applyBorder="1" applyAlignment="1">
      <alignment/>
    </xf>
    <xf numFmtId="0" fontId="18" fillId="0" borderId="1" xfId="0" applyFont="1" applyFill="1" applyBorder="1" applyAlignment="1">
      <alignment/>
    </xf>
    <xf numFmtId="0" fontId="20" fillId="0" borderId="0" xfId="0" applyFont="1" applyFill="1" applyBorder="1" applyAlignment="1">
      <alignment/>
    </xf>
    <xf numFmtId="170" fontId="12" fillId="13" borderId="13" xfId="17" applyFont="1" applyFill="1" applyBorder="1" applyAlignment="1">
      <alignment/>
    </xf>
    <xf numFmtId="170" fontId="18" fillId="2" borderId="13" xfId="17" applyFont="1" applyFill="1" applyBorder="1" applyAlignment="1">
      <alignment/>
    </xf>
    <xf numFmtId="170" fontId="18" fillId="0" borderId="0" xfId="17" applyFont="1" applyFill="1" applyBorder="1" applyAlignment="1">
      <alignment/>
    </xf>
    <xf numFmtId="0" fontId="17" fillId="11" borderId="32" xfId="0" applyFont="1" applyFill="1" applyBorder="1" applyAlignment="1">
      <alignment/>
    </xf>
    <xf numFmtId="0" fontId="17" fillId="11" borderId="33" xfId="0" applyFont="1" applyFill="1" applyBorder="1" applyAlignment="1">
      <alignment/>
    </xf>
    <xf numFmtId="0" fontId="17" fillId="11" borderId="34" xfId="0" applyFont="1" applyFill="1" applyBorder="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170" fontId="15" fillId="0" borderId="0" xfId="17" applyFont="1" applyAlignment="1">
      <alignment/>
    </xf>
    <xf numFmtId="0" fontId="9" fillId="0" borderId="2" xfId="0" applyFont="1" applyFill="1" applyBorder="1" applyAlignment="1">
      <alignment/>
    </xf>
    <xf numFmtId="170" fontId="9" fillId="0" borderId="3" xfId="17" applyFont="1" applyFill="1" applyBorder="1" applyAlignment="1">
      <alignment/>
    </xf>
    <xf numFmtId="0" fontId="22" fillId="0" borderId="0" xfId="0" applyFont="1" applyFill="1" applyBorder="1" applyAlignment="1">
      <alignment/>
    </xf>
    <xf numFmtId="0" fontId="13" fillId="0" borderId="0" xfId="0" applyFont="1" applyFill="1" applyBorder="1" applyAlignment="1">
      <alignment/>
    </xf>
    <xf numFmtId="0" fontId="15" fillId="5" borderId="32" xfId="0" applyFont="1" applyFill="1" applyBorder="1" applyAlignment="1">
      <alignment/>
    </xf>
    <xf numFmtId="0" fontId="15" fillId="5" borderId="35" xfId="0" applyFont="1" applyFill="1" applyBorder="1" applyAlignment="1">
      <alignment/>
    </xf>
    <xf numFmtId="0" fontId="0" fillId="0" borderId="9" xfId="0" applyBorder="1" applyAlignment="1">
      <alignment horizontal="center"/>
    </xf>
    <xf numFmtId="0" fontId="0" fillId="0" borderId="24" xfId="0" applyBorder="1" applyAlignment="1">
      <alignment horizontal="center"/>
    </xf>
    <xf numFmtId="0" fontId="0" fillId="0" borderId="36" xfId="0" applyBorder="1" applyAlignment="1">
      <alignment/>
    </xf>
    <xf numFmtId="0" fontId="15" fillId="5" borderId="37" xfId="0" applyFont="1" applyFill="1" applyBorder="1" applyAlignment="1">
      <alignment/>
    </xf>
    <xf numFmtId="0" fontId="15" fillId="5" borderId="33" xfId="0" applyFont="1" applyFill="1" applyBorder="1" applyAlignment="1">
      <alignment/>
    </xf>
    <xf numFmtId="0" fontId="15" fillId="5" borderId="34" xfId="0" applyFont="1" applyFill="1" applyBorder="1" applyAlignment="1">
      <alignment/>
    </xf>
    <xf numFmtId="0" fontId="0" fillId="0" borderId="6" xfId="0" applyBorder="1" applyAlignment="1">
      <alignment horizontal="center"/>
    </xf>
    <xf numFmtId="0" fontId="23" fillId="11" borderId="22" xfId="0" applyFont="1" applyFill="1" applyBorder="1" applyAlignment="1">
      <alignment/>
    </xf>
    <xf numFmtId="0" fontId="23" fillId="11" borderId="13" xfId="0" applyFont="1" applyFill="1" applyBorder="1" applyAlignment="1">
      <alignment/>
    </xf>
    <xf numFmtId="0" fontId="12" fillId="14" borderId="22" xfId="0" applyFont="1" applyFill="1" applyBorder="1" applyAlignment="1">
      <alignment/>
    </xf>
    <xf numFmtId="0" fontId="12" fillId="14" borderId="13" xfId="0" applyFont="1" applyFill="1" applyBorder="1" applyAlignment="1">
      <alignment/>
    </xf>
    <xf numFmtId="0" fontId="10" fillId="4" borderId="13" xfId="0" applyFont="1" applyFill="1" applyBorder="1" applyAlignment="1">
      <alignment/>
    </xf>
    <xf numFmtId="170" fontId="10" fillId="4" borderId="13" xfId="17" applyFont="1" applyFill="1" applyBorder="1" applyAlignment="1">
      <alignment/>
    </xf>
    <xf numFmtId="0" fontId="12" fillId="15" borderId="22" xfId="0" applyFont="1" applyFill="1" applyBorder="1" applyAlignment="1">
      <alignment/>
    </xf>
    <xf numFmtId="0" fontId="12" fillId="15" borderId="13" xfId="0" applyFont="1" applyFill="1" applyBorder="1" applyAlignment="1">
      <alignment/>
    </xf>
    <xf numFmtId="0" fontId="18" fillId="15" borderId="22" xfId="0" applyFont="1" applyFill="1" applyBorder="1" applyAlignment="1">
      <alignment/>
    </xf>
    <xf numFmtId="0" fontId="19" fillId="15" borderId="13" xfId="0" applyFont="1" applyFill="1" applyBorder="1" applyAlignment="1">
      <alignment/>
    </xf>
    <xf numFmtId="0" fontId="12" fillId="16" borderId="22" xfId="0" applyFont="1" applyFill="1" applyBorder="1" applyAlignment="1">
      <alignment/>
    </xf>
    <xf numFmtId="0" fontId="12" fillId="16" borderId="13" xfId="0" applyFont="1" applyFill="1" applyBorder="1" applyAlignment="1">
      <alignment/>
    </xf>
    <xf numFmtId="0" fontId="17" fillId="10" borderId="38" xfId="0" applyFont="1" applyFill="1" applyBorder="1" applyAlignment="1">
      <alignment/>
    </xf>
    <xf numFmtId="0" fontId="15" fillId="9" borderId="38" xfId="0" applyFont="1" applyFill="1" applyBorder="1" applyAlignment="1">
      <alignment/>
    </xf>
    <xf numFmtId="0" fontId="15" fillId="9" borderId="22" xfId="0" applyFont="1" applyFill="1" applyBorder="1" applyAlignment="1">
      <alignment/>
    </xf>
    <xf numFmtId="0" fontId="17" fillId="10" borderId="22" xfId="0" applyFont="1" applyFill="1" applyBorder="1" applyAlignment="1">
      <alignment/>
    </xf>
    <xf numFmtId="0" fontId="17" fillId="11" borderId="39" xfId="0" applyFont="1" applyFill="1" applyBorder="1" applyAlignment="1">
      <alignment/>
    </xf>
    <xf numFmtId="0" fontId="0" fillId="0" borderId="40" xfId="0" applyBorder="1" applyAlignment="1">
      <alignment/>
    </xf>
    <xf numFmtId="0" fontId="15" fillId="4" borderId="34" xfId="0" applyFont="1" applyFill="1" applyBorder="1" applyAlignment="1">
      <alignment/>
    </xf>
    <xf numFmtId="0" fontId="15" fillId="7" borderId="41" xfId="0" applyFont="1" applyFill="1" applyBorder="1" applyAlignment="1">
      <alignment/>
    </xf>
    <xf numFmtId="0" fontId="17" fillId="17" borderId="41" xfId="0" applyFont="1" applyFill="1" applyBorder="1" applyAlignment="1">
      <alignment/>
    </xf>
    <xf numFmtId="0" fontId="15" fillId="4" borderId="41" xfId="0" applyFont="1" applyFill="1" applyBorder="1" applyAlignment="1">
      <alignment/>
    </xf>
    <xf numFmtId="0" fontId="15" fillId="9" borderId="41" xfId="0" applyFont="1" applyFill="1" applyBorder="1" applyAlignment="1">
      <alignment/>
    </xf>
    <xf numFmtId="0" fontId="17" fillId="10" borderId="41" xfId="0" applyFont="1" applyFill="1" applyBorder="1" applyAlignment="1">
      <alignment/>
    </xf>
    <xf numFmtId="0" fontId="15" fillId="7" borderId="33" xfId="0" applyFont="1" applyFill="1" applyBorder="1" applyAlignment="1">
      <alignment/>
    </xf>
    <xf numFmtId="0" fontId="15" fillId="7" borderId="34" xfId="0" applyFont="1" applyFill="1" applyBorder="1" applyAlignment="1">
      <alignment/>
    </xf>
    <xf numFmtId="0" fontId="15" fillId="4" borderId="33" xfId="0" applyFont="1" applyFill="1" applyBorder="1" applyAlignment="1">
      <alignment/>
    </xf>
    <xf numFmtId="0" fontId="17" fillId="17" borderId="33" xfId="0" applyFont="1" applyFill="1" applyBorder="1" applyAlignment="1">
      <alignment/>
    </xf>
    <xf numFmtId="0" fontId="17" fillId="17" borderId="34" xfId="0" applyFont="1" applyFill="1" applyBorder="1" applyAlignment="1">
      <alignment/>
    </xf>
    <xf numFmtId="0" fontId="15" fillId="9" borderId="33" xfId="0" applyFont="1" applyFill="1" applyBorder="1" applyAlignment="1">
      <alignment/>
    </xf>
    <xf numFmtId="0" fontId="15" fillId="9" borderId="34" xfId="0" applyFont="1" applyFill="1" applyBorder="1" applyAlignment="1">
      <alignment/>
    </xf>
    <xf numFmtId="0" fontId="17" fillId="10" borderId="33" xfId="0" applyFont="1" applyFill="1" applyBorder="1" applyAlignment="1">
      <alignment/>
    </xf>
    <xf numFmtId="0" fontId="17" fillId="10" borderId="34" xfId="0" applyFont="1" applyFill="1" applyBorder="1" applyAlignment="1">
      <alignment/>
    </xf>
    <xf numFmtId="0" fontId="22" fillId="18" borderId="13" xfId="0" applyFont="1" applyFill="1" applyBorder="1" applyAlignment="1">
      <alignment/>
    </xf>
    <xf numFmtId="0" fontId="19" fillId="19" borderId="22" xfId="0" applyFont="1" applyFill="1" applyBorder="1" applyAlignment="1">
      <alignment/>
    </xf>
    <xf numFmtId="0" fontId="19" fillId="19" borderId="13" xfId="0" applyFont="1" applyFill="1" applyBorder="1" applyAlignment="1">
      <alignment/>
    </xf>
    <xf numFmtId="170" fontId="11" fillId="0" borderId="0" xfId="17" applyFont="1" applyAlignment="1">
      <alignment/>
    </xf>
    <xf numFmtId="0" fontId="17" fillId="13" borderId="38" xfId="0" applyFont="1" applyFill="1" applyBorder="1" applyAlignment="1">
      <alignment/>
    </xf>
    <xf numFmtId="0" fontId="17" fillId="13" borderId="1" xfId="0" applyFont="1" applyFill="1" applyBorder="1" applyAlignment="1">
      <alignment/>
    </xf>
    <xf numFmtId="170" fontId="17" fillId="13" borderId="10" xfId="17" applyFont="1" applyFill="1" applyBorder="1" applyAlignment="1">
      <alignment/>
    </xf>
    <xf numFmtId="0" fontId="17" fillId="13" borderId="2" xfId="0" applyFont="1" applyFill="1" applyBorder="1" applyAlignment="1">
      <alignment/>
    </xf>
    <xf numFmtId="0" fontId="17" fillId="13" borderId="0" xfId="0" applyFont="1" applyFill="1" applyBorder="1" applyAlignment="1">
      <alignment/>
    </xf>
    <xf numFmtId="170" fontId="17" fillId="13" borderId="3" xfId="17" applyFont="1" applyFill="1" applyBorder="1" applyAlignment="1">
      <alignment/>
    </xf>
    <xf numFmtId="170" fontId="0" fillId="0" borderId="0" xfId="17" applyFont="1" applyAlignment="1">
      <alignment/>
    </xf>
    <xf numFmtId="170" fontId="0" fillId="0" borderId="0" xfId="17" applyFont="1" applyAlignment="1">
      <alignment/>
    </xf>
    <xf numFmtId="0" fontId="9" fillId="5" borderId="42" xfId="0" applyFont="1" applyFill="1" applyBorder="1" applyAlignment="1">
      <alignment/>
    </xf>
    <xf numFmtId="0" fontId="9" fillId="5" borderId="32" xfId="0" applyFont="1" applyFill="1" applyBorder="1" applyAlignment="1">
      <alignment/>
    </xf>
    <xf numFmtId="0" fontId="9" fillId="5" borderId="15" xfId="0" applyFont="1" applyFill="1" applyBorder="1" applyAlignment="1">
      <alignment/>
    </xf>
    <xf numFmtId="0" fontId="0" fillId="0" borderId="20" xfId="0" applyFont="1" applyBorder="1" applyAlignment="1">
      <alignment/>
    </xf>
    <xf numFmtId="0" fontId="0" fillId="0" borderId="43" xfId="0" applyFont="1" applyBorder="1" applyAlignment="1">
      <alignment/>
    </xf>
    <xf numFmtId="0" fontId="0" fillId="0" borderId="44" xfId="0" applyFont="1" applyBorder="1" applyAlignment="1">
      <alignment horizontal="left"/>
    </xf>
    <xf numFmtId="0" fontId="0" fillId="0" borderId="20" xfId="0" applyFont="1" applyBorder="1" applyAlignment="1">
      <alignment horizontal="left"/>
    </xf>
    <xf numFmtId="0" fontId="0" fillId="0" borderId="18" xfId="0" applyFont="1" applyBorder="1" applyAlignment="1">
      <alignment/>
    </xf>
    <xf numFmtId="0" fontId="0" fillId="0" borderId="19"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5" xfId="0" applyFont="1" applyBorder="1" applyAlignment="1">
      <alignment horizontal="left"/>
    </xf>
    <xf numFmtId="0" fontId="0" fillId="0" borderId="28" xfId="0" applyFont="1" applyBorder="1" applyAlignment="1">
      <alignment/>
    </xf>
    <xf numFmtId="0" fontId="0" fillId="0" borderId="0" xfId="0" applyFont="1" applyBorder="1" applyAlignment="1">
      <alignment horizontal="left"/>
    </xf>
    <xf numFmtId="0" fontId="0" fillId="6" borderId="13" xfId="0" applyFont="1" applyFill="1" applyBorder="1" applyAlignment="1">
      <alignment/>
    </xf>
    <xf numFmtId="0" fontId="0" fillId="6" borderId="13" xfId="0" applyFont="1" applyFill="1" applyBorder="1" applyAlignment="1">
      <alignment horizontal="left"/>
    </xf>
    <xf numFmtId="170" fontId="0" fillId="6" borderId="13" xfId="17" applyFont="1" applyFill="1" applyBorder="1" applyAlignment="1">
      <alignment/>
    </xf>
    <xf numFmtId="0" fontId="21" fillId="11" borderId="39" xfId="0" applyFont="1" applyFill="1" applyBorder="1" applyAlignment="1">
      <alignment/>
    </xf>
    <xf numFmtId="0" fontId="16" fillId="11" borderId="32" xfId="0" applyFont="1" applyFill="1" applyBorder="1" applyAlignment="1">
      <alignment/>
    </xf>
    <xf numFmtId="170" fontId="0" fillId="0" borderId="10" xfId="17" applyFont="1" applyBorder="1" applyAlignment="1">
      <alignment/>
    </xf>
    <xf numFmtId="170" fontId="0" fillId="0" borderId="3" xfId="17" applyFont="1" applyBorder="1" applyAlignment="1">
      <alignment/>
    </xf>
    <xf numFmtId="0" fontId="9" fillId="19" borderId="21" xfId="0" applyFont="1" applyFill="1" applyBorder="1" applyAlignment="1">
      <alignment/>
    </xf>
    <xf numFmtId="0" fontId="9" fillId="19" borderId="7" xfId="0" applyFont="1" applyFill="1" applyBorder="1" applyAlignment="1">
      <alignment/>
    </xf>
    <xf numFmtId="170" fontId="9" fillId="19" borderId="16" xfId="17" applyFont="1" applyFill="1" applyBorder="1" applyAlignment="1">
      <alignment/>
    </xf>
    <xf numFmtId="0" fontId="11" fillId="8" borderId="11" xfId="0" applyFont="1" applyFill="1" applyBorder="1" applyAlignment="1">
      <alignment/>
    </xf>
    <xf numFmtId="0" fontId="11" fillId="8" borderId="47" xfId="0" applyFont="1" applyFill="1" applyBorder="1" applyAlignment="1">
      <alignment/>
    </xf>
    <xf numFmtId="0" fontId="11" fillId="8" borderId="9" xfId="0" applyFont="1" applyFill="1" applyBorder="1" applyAlignment="1">
      <alignment/>
    </xf>
    <xf numFmtId="170" fontId="11" fillId="8" borderId="12" xfId="17" applyFont="1" applyFill="1" applyBorder="1" applyAlignment="1">
      <alignment/>
    </xf>
    <xf numFmtId="0" fontId="0" fillId="0" borderId="11" xfId="0" applyFont="1" applyBorder="1" applyAlignment="1">
      <alignment/>
    </xf>
    <xf numFmtId="0" fontId="0" fillId="0" borderId="47"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170" fontId="0" fillId="0" borderId="12" xfId="17"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170" fontId="0" fillId="0" borderId="53" xfId="17" applyFont="1" applyBorder="1" applyAlignment="1">
      <alignment/>
    </xf>
    <xf numFmtId="0" fontId="0" fillId="0" borderId="44" xfId="0" applyFont="1" applyBorder="1" applyAlignment="1">
      <alignment/>
    </xf>
    <xf numFmtId="1" fontId="0" fillId="0" borderId="54" xfId="0" applyNumberFormat="1" applyFont="1" applyBorder="1" applyAlignment="1">
      <alignment/>
    </xf>
    <xf numFmtId="170" fontId="0" fillId="0" borderId="28" xfId="17" applyFont="1" applyBorder="1" applyAlignment="1">
      <alignment/>
    </xf>
    <xf numFmtId="170" fontId="0" fillId="0" borderId="0" xfId="17" applyFont="1" applyBorder="1" applyAlignment="1">
      <alignment/>
    </xf>
    <xf numFmtId="0" fontId="0" fillId="0" borderId="21" xfId="0" applyFont="1" applyBorder="1" applyAlignment="1">
      <alignment/>
    </xf>
    <xf numFmtId="1" fontId="0" fillId="0" borderId="9" xfId="0" applyNumberFormat="1" applyFont="1" applyBorder="1" applyAlignment="1">
      <alignment/>
    </xf>
    <xf numFmtId="0" fontId="0" fillId="0" borderId="55" xfId="0" applyFont="1" applyBorder="1" applyAlignment="1">
      <alignment/>
    </xf>
    <xf numFmtId="0" fontId="0" fillId="0" borderId="0" xfId="0" applyFont="1" applyFill="1" applyAlignment="1">
      <alignment/>
    </xf>
    <xf numFmtId="0" fontId="0" fillId="0" borderId="9" xfId="0" applyFont="1" applyBorder="1" applyAlignment="1">
      <alignment horizontal="left"/>
    </xf>
    <xf numFmtId="0" fontId="0" fillId="0" borderId="12" xfId="0" applyFont="1" applyBorder="1" applyAlignment="1">
      <alignment/>
    </xf>
    <xf numFmtId="200" fontId="0" fillId="0" borderId="12" xfId="0" applyNumberFormat="1" applyFont="1" applyBorder="1" applyAlignment="1">
      <alignment/>
    </xf>
    <xf numFmtId="0" fontId="0" fillId="0" borderId="23" xfId="0" applyFont="1" applyBorder="1" applyAlignment="1">
      <alignment/>
    </xf>
    <xf numFmtId="0" fontId="0" fillId="0" borderId="26" xfId="0" applyFont="1" applyBorder="1" applyAlignment="1">
      <alignment/>
    </xf>
    <xf numFmtId="0" fontId="0" fillId="0" borderId="24" xfId="0" applyFont="1" applyBorder="1" applyAlignment="1">
      <alignment horizontal="left"/>
    </xf>
    <xf numFmtId="0" fontId="0" fillId="0" borderId="25" xfId="0" applyFont="1" applyBorder="1" applyAlignment="1">
      <alignment/>
    </xf>
    <xf numFmtId="0" fontId="9" fillId="3" borderId="42" xfId="0" applyFont="1" applyFill="1" applyBorder="1" applyAlignment="1">
      <alignment/>
    </xf>
    <xf numFmtId="0" fontId="9" fillId="4" borderId="21" xfId="0" applyFont="1" applyFill="1" applyBorder="1" applyAlignment="1">
      <alignment/>
    </xf>
    <xf numFmtId="0" fontId="9" fillId="4" borderId="8" xfId="0" applyFont="1" applyFill="1" applyBorder="1" applyAlignment="1">
      <alignment/>
    </xf>
    <xf numFmtId="0" fontId="9" fillId="4" borderId="7" xfId="0" applyFont="1" applyFill="1" applyBorder="1" applyAlignment="1">
      <alignment/>
    </xf>
    <xf numFmtId="0" fontId="0" fillId="0" borderId="29" xfId="0" applyFont="1" applyBorder="1" applyAlignment="1">
      <alignment/>
    </xf>
    <xf numFmtId="0" fontId="9" fillId="3" borderId="22" xfId="0" applyFont="1" applyFill="1" applyBorder="1" applyAlignment="1">
      <alignment/>
    </xf>
    <xf numFmtId="0" fontId="16" fillId="11" borderId="27" xfId="0" applyFont="1" applyFill="1" applyBorder="1" applyAlignment="1">
      <alignment/>
    </xf>
    <xf numFmtId="0" fontId="9" fillId="4" borderId="56" xfId="0" applyFont="1" applyFill="1" applyBorder="1" applyAlignment="1">
      <alignment/>
    </xf>
    <xf numFmtId="170" fontId="9" fillId="4" borderId="16" xfId="17" applyFont="1" applyFill="1" applyBorder="1" applyAlignment="1">
      <alignment/>
    </xf>
    <xf numFmtId="0" fontId="9" fillId="4" borderId="16" xfId="0" applyFont="1" applyFill="1" applyBorder="1" applyAlignment="1">
      <alignment/>
    </xf>
    <xf numFmtId="0" fontId="11" fillId="2" borderId="21" xfId="0" applyFont="1" applyFill="1" applyBorder="1" applyAlignment="1">
      <alignment/>
    </xf>
    <xf numFmtId="0" fontId="11" fillId="2" borderId="47" xfId="0" applyFont="1" applyFill="1" applyBorder="1" applyAlignment="1">
      <alignment/>
    </xf>
    <xf numFmtId="0" fontId="11" fillId="2" borderId="7" xfId="0" applyFont="1" applyFill="1" applyBorder="1" applyAlignment="1">
      <alignment/>
    </xf>
    <xf numFmtId="0" fontId="11" fillId="2" borderId="8" xfId="0" applyFont="1" applyFill="1" applyBorder="1" applyAlignment="1">
      <alignment/>
    </xf>
    <xf numFmtId="0" fontId="11" fillId="2" borderId="9" xfId="0" applyFont="1" applyFill="1" applyBorder="1" applyAlignment="1">
      <alignment/>
    </xf>
    <xf numFmtId="170" fontId="11" fillId="2" borderId="12" xfId="17" applyFont="1" applyFill="1" applyBorder="1" applyAlignment="1">
      <alignment/>
    </xf>
    <xf numFmtId="0" fontId="11" fillId="2" borderId="11" xfId="0" applyFont="1" applyFill="1" applyBorder="1" applyAlignment="1">
      <alignment/>
    </xf>
    <xf numFmtId="0" fontId="11" fillId="2" borderId="12" xfId="0" applyFont="1" applyFill="1" applyBorder="1" applyAlignment="1">
      <alignment/>
    </xf>
    <xf numFmtId="0" fontId="9" fillId="2" borderId="21" xfId="0" applyFont="1" applyFill="1" applyBorder="1" applyAlignment="1">
      <alignment/>
    </xf>
    <xf numFmtId="0" fontId="18" fillId="12" borderId="13" xfId="0" applyFont="1" applyFill="1" applyBorder="1" applyAlignment="1">
      <alignment/>
    </xf>
    <xf numFmtId="0" fontId="0" fillId="0" borderId="0" xfId="0" applyFont="1" applyFill="1" applyBorder="1" applyAlignment="1">
      <alignment/>
    </xf>
    <xf numFmtId="0" fontId="9" fillId="0" borderId="19" xfId="0" applyFont="1" applyFill="1" applyBorder="1" applyAlignment="1">
      <alignment/>
    </xf>
    <xf numFmtId="0" fontId="0" fillId="0" borderId="0" xfId="0" applyFont="1" applyFill="1" applyBorder="1" applyAlignment="1">
      <alignment/>
    </xf>
    <xf numFmtId="0" fontId="15" fillId="5" borderId="2" xfId="0" applyFont="1" applyFill="1" applyBorder="1" applyAlignment="1">
      <alignment/>
    </xf>
    <xf numFmtId="0" fontId="0" fillId="0" borderId="57" xfId="0" applyFont="1" applyBorder="1" applyAlignment="1">
      <alignment/>
    </xf>
    <xf numFmtId="0" fontId="0" fillId="0" borderId="56" xfId="0" applyFont="1" applyBorder="1" applyAlignment="1">
      <alignment/>
    </xf>
    <xf numFmtId="0" fontId="18" fillId="15" borderId="13" xfId="0" applyFont="1" applyFill="1" applyBorder="1" applyAlignment="1">
      <alignment/>
    </xf>
    <xf numFmtId="0" fontId="15" fillId="9" borderId="1" xfId="0" applyFont="1" applyFill="1" applyBorder="1" applyAlignment="1">
      <alignment/>
    </xf>
    <xf numFmtId="0" fontId="15" fillId="9" borderId="32" xfId="0" applyFont="1" applyFill="1" applyBorder="1" applyAlignment="1">
      <alignment/>
    </xf>
    <xf numFmtId="0" fontId="15" fillId="9" borderId="35" xfId="0" applyFont="1" applyFill="1" applyBorder="1" applyAlignment="1">
      <alignment/>
    </xf>
    <xf numFmtId="0" fontId="17" fillId="10" borderId="1" xfId="0" applyFont="1" applyFill="1" applyBorder="1" applyAlignment="1">
      <alignment/>
    </xf>
    <xf numFmtId="0" fontId="17" fillId="10" borderId="32" xfId="0" applyFont="1" applyFill="1" applyBorder="1" applyAlignment="1">
      <alignment/>
    </xf>
    <xf numFmtId="0" fontId="17" fillId="10" borderId="35" xfId="0" applyFont="1" applyFill="1" applyBorder="1" applyAlignment="1">
      <alignment/>
    </xf>
    <xf numFmtId="0" fontId="0" fillId="0" borderId="9" xfId="0" applyFont="1" applyFill="1" applyBorder="1" applyAlignment="1">
      <alignment/>
    </xf>
    <xf numFmtId="0" fontId="0" fillId="0" borderId="30" xfId="0" applyFont="1" applyBorder="1" applyAlignment="1">
      <alignment/>
    </xf>
    <xf numFmtId="0" fontId="0" fillId="0" borderId="31" xfId="0" applyFont="1" applyBorder="1" applyAlignment="1">
      <alignment/>
    </xf>
    <xf numFmtId="0" fontId="0" fillId="0" borderId="24" xfId="0" applyFont="1" applyBorder="1" applyAlignment="1">
      <alignment/>
    </xf>
    <xf numFmtId="0" fontId="11" fillId="0" borderId="2" xfId="0" applyFont="1" applyFill="1" applyBorder="1" applyAlignment="1">
      <alignment/>
    </xf>
    <xf numFmtId="0" fontId="0" fillId="0" borderId="3" xfId="0" applyFont="1" applyFill="1" applyBorder="1" applyAlignment="1">
      <alignment/>
    </xf>
    <xf numFmtId="0" fontId="14" fillId="0" borderId="2" xfId="0" applyFont="1" applyFill="1" applyBorder="1" applyAlignment="1">
      <alignment/>
    </xf>
    <xf numFmtId="0" fontId="17" fillId="11" borderId="41" xfId="0" applyFont="1" applyFill="1" applyBorder="1" applyAlignment="1">
      <alignment/>
    </xf>
    <xf numFmtId="0" fontId="17" fillId="20" borderId="21" xfId="0" applyFont="1" applyFill="1" applyBorder="1" applyAlignment="1">
      <alignment/>
    </xf>
    <xf numFmtId="0" fontId="17" fillId="20" borderId="7" xfId="0" applyFont="1" applyFill="1" applyBorder="1" applyAlignment="1">
      <alignment/>
    </xf>
    <xf numFmtId="0" fontId="15" fillId="20" borderId="7" xfId="0" applyFont="1" applyFill="1" applyBorder="1" applyAlignment="1">
      <alignment/>
    </xf>
    <xf numFmtId="170" fontId="15" fillId="20" borderId="16" xfId="17" applyFont="1" applyFill="1" applyBorder="1" applyAlignment="1">
      <alignment/>
    </xf>
    <xf numFmtId="170" fontId="15" fillId="0" borderId="20" xfId="17" applyFont="1" applyFill="1" applyBorder="1" applyAlignment="1">
      <alignment/>
    </xf>
    <xf numFmtId="0" fontId="11" fillId="12" borderId="11" xfId="0" applyFont="1" applyFill="1" applyBorder="1" applyAlignment="1">
      <alignment/>
    </xf>
    <xf numFmtId="0" fontId="11" fillId="12" borderId="47" xfId="0" applyFont="1" applyFill="1" applyBorder="1" applyAlignment="1">
      <alignment/>
    </xf>
    <xf numFmtId="0" fontId="11" fillId="12" borderId="7" xfId="0" applyFont="1" applyFill="1" applyBorder="1" applyAlignment="1">
      <alignment/>
    </xf>
    <xf numFmtId="0" fontId="11" fillId="12" borderId="8" xfId="0" applyFont="1" applyFill="1" applyBorder="1" applyAlignment="1">
      <alignment/>
    </xf>
    <xf numFmtId="0" fontId="11" fillId="12" borderId="9" xfId="0" applyFont="1" applyFill="1" applyBorder="1" applyAlignment="1">
      <alignment/>
    </xf>
    <xf numFmtId="170" fontId="11" fillId="12" borderId="12" xfId="17" applyFont="1" applyFill="1" applyBorder="1" applyAlignment="1">
      <alignment/>
    </xf>
    <xf numFmtId="170" fontId="11" fillId="0" borderId="20" xfId="17" applyFont="1" applyFill="1" applyBorder="1" applyAlignment="1">
      <alignment/>
    </xf>
    <xf numFmtId="170" fontId="0" fillId="0" borderId="20" xfId="17" applyFont="1" applyFill="1" applyBorder="1" applyAlignment="1">
      <alignment/>
    </xf>
    <xf numFmtId="0" fontId="0" fillId="0" borderId="58" xfId="0" applyFont="1" applyBorder="1" applyAlignment="1">
      <alignment/>
    </xf>
    <xf numFmtId="0" fontId="9" fillId="20" borderId="7" xfId="0" applyFont="1" applyFill="1" applyBorder="1" applyAlignment="1">
      <alignment/>
    </xf>
    <xf numFmtId="170" fontId="9" fillId="20" borderId="16" xfId="17" applyFont="1" applyFill="1" applyBorder="1" applyAlignment="1">
      <alignment/>
    </xf>
    <xf numFmtId="0" fontId="0" fillId="0" borderId="0" xfId="0" applyFont="1" applyAlignment="1">
      <alignment/>
    </xf>
    <xf numFmtId="0" fontId="7" fillId="5" borderId="38" xfId="0" applyFont="1" applyFill="1" applyBorder="1" applyAlignment="1">
      <alignment/>
    </xf>
    <xf numFmtId="0" fontId="7" fillId="5" borderId="1" xfId="0" applyFont="1" applyFill="1" applyBorder="1" applyAlignment="1">
      <alignment/>
    </xf>
    <xf numFmtId="0" fontId="7" fillId="5" borderId="35" xfId="0" applyFont="1" applyFill="1" applyBorder="1" applyAlignment="1">
      <alignment/>
    </xf>
    <xf numFmtId="0" fontId="0" fillId="0" borderId="7" xfId="0" applyFont="1" applyBorder="1" applyAlignment="1">
      <alignment horizontal="left"/>
    </xf>
    <xf numFmtId="0" fontId="0" fillId="0" borderId="31" xfId="0" applyFont="1" applyBorder="1" applyAlignment="1">
      <alignment horizontal="left"/>
    </xf>
    <xf numFmtId="0" fontId="0" fillId="2" borderId="11" xfId="0" applyFont="1" applyFill="1" applyBorder="1" applyAlignment="1">
      <alignment/>
    </xf>
    <xf numFmtId="0" fontId="0" fillId="2" borderId="4" xfId="0" applyFont="1" applyFill="1" applyBorder="1" applyAlignment="1">
      <alignment/>
    </xf>
    <xf numFmtId="0" fontId="0" fillId="2" borderId="9" xfId="0" applyFont="1" applyFill="1" applyBorder="1" applyAlignment="1">
      <alignment/>
    </xf>
    <xf numFmtId="170" fontId="0" fillId="2" borderId="12" xfId="17" applyFont="1" applyFill="1" applyBorder="1" applyAlignment="1">
      <alignment/>
    </xf>
    <xf numFmtId="0" fontId="0" fillId="0" borderId="9" xfId="0" applyFont="1" applyBorder="1" applyAlignment="1">
      <alignment horizontal="right"/>
    </xf>
    <xf numFmtId="170" fontId="0" fillId="0" borderId="59" xfId="17" applyFont="1" applyBorder="1" applyAlignment="1">
      <alignment/>
    </xf>
    <xf numFmtId="0" fontId="0" fillId="0" borderId="8" xfId="0" applyFont="1" applyBorder="1" applyAlignment="1">
      <alignment horizontal="left"/>
    </xf>
    <xf numFmtId="0" fontId="12" fillId="18" borderId="22" xfId="0" applyFont="1" applyFill="1" applyBorder="1" applyAlignment="1">
      <alignment/>
    </xf>
    <xf numFmtId="0" fontId="0" fillId="0" borderId="0" xfId="0" applyFill="1" applyBorder="1" applyAlignment="1">
      <alignment/>
    </xf>
    <xf numFmtId="172" fontId="0" fillId="0" borderId="0" xfId="0" applyNumberFormat="1" applyAlignment="1">
      <alignment/>
    </xf>
    <xf numFmtId="0" fontId="0" fillId="0" borderId="18" xfId="0" applyBorder="1" applyAlignment="1">
      <alignment/>
    </xf>
    <xf numFmtId="0" fontId="0" fillId="0" borderId="28" xfId="0" applyBorder="1" applyAlignment="1">
      <alignment/>
    </xf>
    <xf numFmtId="0" fontId="0" fillId="0" borderId="18" xfId="0" applyFill="1" applyBorder="1" applyAlignment="1">
      <alignment/>
    </xf>
    <xf numFmtId="0" fontId="9" fillId="5" borderId="27" xfId="0" applyFont="1" applyFill="1" applyBorder="1" applyAlignment="1">
      <alignment/>
    </xf>
    <xf numFmtId="172" fontId="1" fillId="0" borderId="0" xfId="0" applyNumberFormat="1" applyFont="1" applyAlignment="1">
      <alignment/>
    </xf>
    <xf numFmtId="0" fontId="13" fillId="21" borderId="22" xfId="0" applyFont="1" applyFill="1" applyBorder="1" applyAlignment="1">
      <alignment/>
    </xf>
    <xf numFmtId="0" fontId="6" fillId="21" borderId="13" xfId="0" applyFont="1" applyFill="1" applyBorder="1" applyAlignment="1">
      <alignment/>
    </xf>
    <xf numFmtId="3" fontId="0" fillId="0" borderId="9" xfId="0" applyNumberFormat="1" applyBorder="1" applyAlignment="1">
      <alignment/>
    </xf>
    <xf numFmtId="3" fontId="0" fillId="0" borderId="6" xfId="0" applyNumberFormat="1" applyBorder="1" applyAlignment="1">
      <alignment/>
    </xf>
    <xf numFmtId="3" fontId="0" fillId="0" borderId="36" xfId="0" applyNumberFormat="1" applyBorder="1" applyAlignment="1">
      <alignment/>
    </xf>
    <xf numFmtId="3" fontId="0" fillId="0" borderId="12"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203" fontId="0" fillId="0" borderId="9" xfId="0" applyNumberFormat="1" applyBorder="1" applyAlignment="1">
      <alignment/>
    </xf>
    <xf numFmtId="0" fontId="0" fillId="0" borderId="20" xfId="0" applyBorder="1" applyAlignment="1">
      <alignment/>
    </xf>
    <xf numFmtId="203" fontId="0" fillId="0" borderId="0" xfId="0" applyNumberFormat="1" applyBorder="1" applyAlignment="1">
      <alignment/>
    </xf>
    <xf numFmtId="0" fontId="0" fillId="0" borderId="19" xfId="0" applyBorder="1" applyAlignment="1">
      <alignment/>
    </xf>
    <xf numFmtId="203" fontId="0" fillId="0" borderId="6" xfId="0" applyNumberFormat="1" applyBorder="1" applyAlignment="1">
      <alignment/>
    </xf>
    <xf numFmtId="0" fontId="0" fillId="21" borderId="17" xfId="0" applyFill="1" applyBorder="1" applyAlignment="1">
      <alignment/>
    </xf>
    <xf numFmtId="172" fontId="0" fillId="0" borderId="0" xfId="0" applyNumberFormat="1" applyFill="1" applyBorder="1" applyAlignment="1">
      <alignment/>
    </xf>
    <xf numFmtId="203" fontId="0" fillId="0" borderId="36" xfId="0" applyNumberFormat="1" applyBorder="1" applyAlignment="1">
      <alignment/>
    </xf>
    <xf numFmtId="203" fontId="0" fillId="0" borderId="12" xfId="0" applyNumberFormat="1" applyBorder="1" applyAlignment="1">
      <alignment/>
    </xf>
    <xf numFmtId="203" fontId="0" fillId="0" borderId="31" xfId="0" applyNumberFormat="1" applyBorder="1" applyAlignment="1">
      <alignment/>
    </xf>
    <xf numFmtId="0" fontId="0" fillId="0" borderId="38" xfId="0" applyBorder="1" applyAlignment="1">
      <alignment/>
    </xf>
    <xf numFmtId="203" fontId="0" fillId="0" borderId="1" xfId="0" applyNumberFormat="1" applyBorder="1" applyAlignment="1">
      <alignment/>
    </xf>
    <xf numFmtId="172" fontId="0" fillId="0" borderId="58" xfId="0" applyNumberFormat="1" applyBorder="1" applyAlignment="1">
      <alignment/>
    </xf>
    <xf numFmtId="0" fontId="0" fillId="21" borderId="13" xfId="0" applyFill="1" applyBorder="1" applyAlignment="1">
      <alignment/>
    </xf>
    <xf numFmtId="203" fontId="0" fillId="21" borderId="13" xfId="0" applyNumberFormat="1" applyFill="1" applyBorder="1" applyAlignment="1">
      <alignment/>
    </xf>
    <xf numFmtId="172" fontId="0" fillId="0" borderId="60" xfId="0" applyNumberFormat="1" applyBorder="1" applyAlignment="1">
      <alignment/>
    </xf>
    <xf numFmtId="203" fontId="0" fillId="0" borderId="25" xfId="0" applyNumberFormat="1" applyBorder="1" applyAlignment="1">
      <alignment/>
    </xf>
    <xf numFmtId="0" fontId="24"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 xfId="0" applyFont="1" applyFill="1" applyBorder="1" applyAlignment="1">
      <alignment horizontal="left"/>
    </xf>
    <xf numFmtId="0" fontId="10" fillId="0" borderId="10" xfId="0" applyFont="1" applyFill="1" applyBorder="1" applyAlignment="1">
      <alignment horizontal="left"/>
    </xf>
    <xf numFmtId="0" fontId="6" fillId="0" borderId="61" xfId="0" applyFont="1" applyFill="1" applyBorder="1" applyAlignment="1">
      <alignment horizontal="left"/>
    </xf>
    <xf numFmtId="0" fontId="6" fillId="0" borderId="62" xfId="0" applyFont="1" applyFill="1" applyBorder="1" applyAlignment="1">
      <alignment horizontal="left"/>
    </xf>
    <xf numFmtId="0" fontId="0" fillId="0" borderId="0" xfId="0" applyFont="1" applyFill="1" applyBorder="1" applyAlignment="1">
      <alignment wrapText="1"/>
    </xf>
    <xf numFmtId="0" fontId="0" fillId="0" borderId="3" xfId="0" applyFont="1" applyFill="1" applyBorder="1" applyAlignment="1">
      <alignment wrapText="1"/>
    </xf>
    <xf numFmtId="0" fontId="25" fillId="0" borderId="0" xfId="0" applyFont="1" applyFill="1" applyBorder="1" applyAlignment="1">
      <alignment wrapText="1"/>
    </xf>
    <xf numFmtId="0" fontId="6" fillId="0" borderId="18" xfId="0" applyFont="1" applyFill="1" applyBorder="1" applyAlignment="1">
      <alignment horizontal="right" vertical="center"/>
    </xf>
    <xf numFmtId="0" fontId="6" fillId="0" borderId="19" xfId="0" applyFont="1" applyFill="1" applyBorder="1" applyAlignment="1">
      <alignment vertical="center"/>
    </xf>
    <xf numFmtId="0" fontId="6" fillId="0" borderId="28" xfId="0" applyFont="1" applyFill="1" applyBorder="1" applyAlignment="1">
      <alignment vertical="center"/>
    </xf>
    <xf numFmtId="0" fontId="26" fillId="0" borderId="0" xfId="0" applyFont="1" applyFill="1" applyAlignment="1">
      <alignment/>
    </xf>
    <xf numFmtId="0" fontId="26" fillId="0" borderId="0" xfId="0" applyFont="1" applyFill="1" applyAlignment="1">
      <alignment wrapText="1"/>
    </xf>
    <xf numFmtId="0" fontId="7" fillId="0" borderId="38" xfId="0" applyFont="1" applyFill="1" applyBorder="1" applyAlignment="1">
      <alignment horizontal="left"/>
    </xf>
    <xf numFmtId="0" fontId="7" fillId="0" borderId="1" xfId="0" applyFont="1" applyFill="1" applyBorder="1" applyAlignment="1">
      <alignment horizontal="left"/>
    </xf>
    <xf numFmtId="0" fontId="7" fillId="0" borderId="10" xfId="0" applyFont="1" applyFill="1" applyBorder="1" applyAlignment="1">
      <alignment horizontal="left"/>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8" xfId="0" applyFont="1" applyFill="1" applyBorder="1" applyAlignment="1">
      <alignment horizontal="left" vertical="center"/>
    </xf>
    <xf numFmtId="0" fontId="0" fillId="0" borderId="1" xfId="0" applyFont="1" applyFill="1" applyBorder="1" applyAlignment="1">
      <alignment horizontal="left"/>
    </xf>
    <xf numFmtId="0" fontId="7" fillId="0" borderId="2" xfId="0" applyFont="1" applyFill="1" applyBorder="1" applyAlignment="1">
      <alignment horizontal="left"/>
    </xf>
    <xf numFmtId="0" fontId="7" fillId="0" borderId="0" xfId="0" applyFont="1" applyFill="1" applyBorder="1" applyAlignment="1">
      <alignment horizontal="left"/>
    </xf>
    <xf numFmtId="0" fontId="0" fillId="0" borderId="0" xfId="0" applyFont="1" applyFill="1" applyBorder="1" applyAlignment="1">
      <alignment horizontal="left"/>
    </xf>
    <xf numFmtId="0" fontId="7" fillId="0" borderId="3" xfId="0" applyFont="1" applyFill="1" applyBorder="1" applyAlignment="1">
      <alignment horizontal="left"/>
    </xf>
    <xf numFmtId="0" fontId="26" fillId="0" borderId="2" xfId="0" applyFont="1" applyFill="1" applyBorder="1" applyAlignment="1">
      <alignment vertical="top"/>
    </xf>
    <xf numFmtId="0" fontId="7" fillId="0" borderId="0" xfId="0" applyFont="1" applyFill="1" applyBorder="1" applyAlignment="1">
      <alignment vertical="top"/>
    </xf>
    <xf numFmtId="0" fontId="26" fillId="0" borderId="18" xfId="0" applyFont="1" applyFill="1" applyBorder="1" applyAlignment="1">
      <alignment vertical="center"/>
    </xf>
    <xf numFmtId="0" fontId="26" fillId="0" borderId="19" xfId="0" applyFont="1" applyFill="1" applyBorder="1" applyAlignment="1">
      <alignment vertical="center"/>
    </xf>
    <xf numFmtId="0" fontId="26" fillId="0" borderId="19" xfId="0" applyFont="1" applyFill="1" applyBorder="1" applyAlignment="1">
      <alignment vertical="center" wrapText="1"/>
    </xf>
    <xf numFmtId="0" fontId="26" fillId="0" borderId="28" xfId="0" applyFont="1" applyFill="1" applyBorder="1" applyAlignment="1">
      <alignment vertical="center"/>
    </xf>
    <xf numFmtId="0" fontId="26" fillId="0" borderId="0" xfId="0" applyFont="1" applyAlignment="1">
      <alignment/>
    </xf>
    <xf numFmtId="0" fontId="26" fillId="0" borderId="0" xfId="0" applyFont="1" applyAlignment="1">
      <alignment wrapText="1"/>
    </xf>
    <xf numFmtId="0" fontId="7" fillId="21" borderId="22" xfId="0" applyFont="1" applyFill="1" applyBorder="1" applyAlignment="1">
      <alignment vertical="center"/>
    </xf>
    <xf numFmtId="0" fontId="6" fillId="5" borderId="22" xfId="0" applyFont="1" applyFill="1" applyBorder="1" applyAlignment="1" quotePrefix="1">
      <alignment horizontal="center" vertical="center"/>
    </xf>
    <xf numFmtId="0" fontId="1" fillId="0" borderId="38" xfId="0" applyFont="1" applyBorder="1" applyAlignment="1">
      <alignment horizontal="center" vertical="top" wrapText="1"/>
    </xf>
    <xf numFmtId="0" fontId="1" fillId="0" borderId="18" xfId="0" applyFont="1" applyBorder="1" applyAlignment="1">
      <alignment horizontal="center" vertical="top" wrapText="1"/>
    </xf>
    <xf numFmtId="0" fontId="6" fillId="5" borderId="22" xfId="0" applyFont="1" applyFill="1" applyBorder="1" applyAlignment="1">
      <alignment horizontal="center" vertical="center"/>
    </xf>
    <xf numFmtId="0" fontId="1" fillId="0" borderId="38" xfId="0" applyFont="1" applyBorder="1" applyAlignment="1">
      <alignment horizontal="center" vertical="center" wrapText="1"/>
    </xf>
    <xf numFmtId="3" fontId="29" fillId="22" borderId="6" xfId="0" applyNumberFormat="1" applyFont="1" applyFill="1" applyBorder="1" applyAlignment="1">
      <alignment/>
    </xf>
    <xf numFmtId="3" fontId="29" fillId="22" borderId="63" xfId="0" applyNumberFormat="1" applyFont="1" applyFill="1" applyBorder="1" applyAlignment="1">
      <alignment/>
    </xf>
    <xf numFmtId="3" fontId="29" fillId="22" borderId="47" xfId="0" applyNumberFormat="1" applyFont="1" applyFill="1" applyBorder="1" applyAlignment="1">
      <alignment/>
    </xf>
    <xf numFmtId="3" fontId="29" fillId="22" borderId="64" xfId="0" applyNumberFormat="1" applyFont="1" applyFill="1" applyBorder="1" applyAlignment="1">
      <alignment/>
    </xf>
    <xf numFmtId="0" fontId="30" fillId="0" borderId="6" xfId="0" applyFont="1" applyFill="1" applyBorder="1" applyAlignment="1">
      <alignment/>
    </xf>
    <xf numFmtId="0" fontId="30" fillId="0" borderId="9" xfId="0" applyFont="1" applyFill="1" applyBorder="1" applyAlignment="1">
      <alignment/>
    </xf>
    <xf numFmtId="0" fontId="15" fillId="5" borderId="33" xfId="0" applyFont="1" applyFill="1" applyBorder="1" applyAlignment="1">
      <alignment horizontal="center"/>
    </xf>
    <xf numFmtId="0" fontId="31" fillId="0" borderId="9" xfId="0" applyFont="1" applyBorder="1" applyAlignment="1">
      <alignment/>
    </xf>
    <xf numFmtId="0" fontId="31" fillId="0" borderId="7" xfId="0" applyFont="1" applyBorder="1" applyAlignment="1">
      <alignment/>
    </xf>
    <xf numFmtId="3" fontId="31" fillId="0" borderId="9" xfId="0" applyNumberFormat="1" applyFont="1" applyBorder="1" applyAlignment="1">
      <alignment/>
    </xf>
    <xf numFmtId="0" fontId="30" fillId="0" borderId="9" xfId="0" applyFont="1" applyBorder="1" applyAlignment="1">
      <alignment/>
    </xf>
    <xf numFmtId="2" fontId="30" fillId="0" borderId="24" xfId="0" applyNumberFormat="1" applyFont="1" applyBorder="1" applyAlignment="1">
      <alignment/>
    </xf>
    <xf numFmtId="3" fontId="30" fillId="0" borderId="6" xfId="0" applyNumberFormat="1" applyFont="1" applyBorder="1" applyAlignment="1">
      <alignment/>
    </xf>
    <xf numFmtId="3" fontId="30" fillId="0" borderId="9" xfId="0" applyNumberFormat="1" applyFont="1" applyBorder="1" applyAlignment="1">
      <alignment/>
    </xf>
    <xf numFmtId="3" fontId="30" fillId="0" borderId="24" xfId="0" applyNumberFormat="1" applyFont="1" applyBorder="1" applyAlignment="1">
      <alignment/>
    </xf>
    <xf numFmtId="0" fontId="30" fillId="0" borderId="36" xfId="0" applyFont="1" applyBorder="1" applyAlignment="1">
      <alignment horizontal="center"/>
    </xf>
    <xf numFmtId="0" fontId="30" fillId="0" borderId="12" xfId="0" applyFont="1" applyBorder="1" applyAlignment="1">
      <alignment horizontal="center"/>
    </xf>
    <xf numFmtId="0" fontId="30" fillId="0" borderId="25" xfId="0" applyFont="1" applyBorder="1" applyAlignment="1">
      <alignment horizontal="center"/>
    </xf>
    <xf numFmtId="0" fontId="30" fillId="0" borderId="24" xfId="0" applyFont="1" applyBorder="1" applyAlignment="1">
      <alignment/>
    </xf>
    <xf numFmtId="0" fontId="30" fillId="0" borderId="54" xfId="0" applyFont="1" applyBorder="1" applyAlignment="1">
      <alignment/>
    </xf>
    <xf numFmtId="0" fontId="30" fillId="0" borderId="46" xfId="0" applyFont="1" applyBorder="1" applyAlignment="1">
      <alignment/>
    </xf>
    <xf numFmtId="0" fontId="30" fillId="0" borderId="43" xfId="0" applyFont="1" applyBorder="1" applyAlignment="1">
      <alignment/>
    </xf>
    <xf numFmtId="0" fontId="30" fillId="0" borderId="9" xfId="0" applyFont="1" applyBorder="1" applyAlignment="1">
      <alignment horizontal="right"/>
    </xf>
    <xf numFmtId="0" fontId="30" fillId="0" borderId="24" xfId="0" applyFont="1" applyBorder="1" applyAlignment="1">
      <alignment horizontal="right"/>
    </xf>
    <xf numFmtId="0" fontId="11" fillId="8" borderId="9" xfId="0" applyFont="1" applyFill="1" applyBorder="1" applyAlignment="1">
      <alignment horizontal="center"/>
    </xf>
    <xf numFmtId="0" fontId="0" fillId="0" borderId="9" xfId="0" applyFont="1" applyBorder="1" applyAlignment="1">
      <alignment horizontal="center"/>
    </xf>
    <xf numFmtId="0" fontId="0" fillId="0" borderId="52" xfId="0" applyFont="1" applyBorder="1" applyAlignment="1">
      <alignment horizontal="center"/>
    </xf>
    <xf numFmtId="1" fontId="0" fillId="0" borderId="9" xfId="0" applyNumberFormat="1" applyFont="1" applyBorder="1" applyAlignment="1">
      <alignment horizontal="center"/>
    </xf>
    <xf numFmtId="0" fontId="11" fillId="2" borderId="9" xfId="0" applyFont="1" applyFill="1" applyBorder="1" applyAlignment="1">
      <alignment horizontal="center"/>
    </xf>
    <xf numFmtId="0" fontId="0" fillId="0" borderId="12" xfId="0" applyFont="1" applyBorder="1" applyAlignment="1">
      <alignment horizontal="right"/>
    </xf>
    <xf numFmtId="0" fontId="0" fillId="0" borderId="25" xfId="0" applyFont="1" applyBorder="1" applyAlignment="1">
      <alignment horizontal="right"/>
    </xf>
    <xf numFmtId="0" fontId="11" fillId="12" borderId="9" xfId="0" applyFont="1" applyFill="1" applyBorder="1" applyAlignment="1">
      <alignment horizontal="center"/>
    </xf>
    <xf numFmtId="0" fontId="0" fillId="0" borderId="52" xfId="0" applyFont="1" applyBorder="1" applyAlignment="1">
      <alignment horizontal="right"/>
    </xf>
    <xf numFmtId="0" fontId="0" fillId="0" borderId="51" xfId="0" applyFont="1" applyBorder="1" applyAlignment="1">
      <alignment horizontal="center"/>
    </xf>
    <xf numFmtId="0" fontId="0" fillId="0" borderId="12" xfId="0" applyFont="1" applyBorder="1" applyAlignment="1">
      <alignment horizontal="center"/>
    </xf>
    <xf numFmtId="0" fontId="0" fillId="2" borderId="9" xfId="0" applyFont="1" applyFill="1" applyBorder="1" applyAlignment="1">
      <alignment horizontal="center"/>
    </xf>
    <xf numFmtId="0" fontId="0" fillId="0" borderId="49" xfId="0" applyFont="1" applyBorder="1" applyAlignment="1">
      <alignment horizontal="center"/>
    </xf>
    <xf numFmtId="0" fontId="0" fillId="2" borderId="9" xfId="0" applyFont="1" applyFill="1" applyBorder="1" applyAlignment="1">
      <alignment horizontal="right"/>
    </xf>
    <xf numFmtId="0" fontId="0" fillId="0" borderId="51" xfId="0" applyFont="1" applyBorder="1" applyAlignment="1">
      <alignment horizontal="right"/>
    </xf>
    <xf numFmtId="203" fontId="0" fillId="4" borderId="64" xfId="0" applyNumberFormat="1" applyFill="1" applyBorder="1" applyAlignment="1">
      <alignment/>
    </xf>
    <xf numFmtId="0" fontId="6" fillId="21" borderId="65" xfId="0" applyFont="1" applyFill="1" applyBorder="1" applyAlignment="1">
      <alignment horizontal="right"/>
    </xf>
    <xf numFmtId="0" fontId="6" fillId="21" borderId="34" xfId="0" applyFont="1" applyFill="1" applyBorder="1" applyAlignment="1">
      <alignment horizontal="right"/>
    </xf>
    <xf numFmtId="0" fontId="0" fillId="0" borderId="0" xfId="0" applyAlignment="1">
      <alignment horizontal="justify" vertical="top" wrapText="1"/>
    </xf>
    <xf numFmtId="0" fontId="1" fillId="0" borderId="2" xfId="0" applyFont="1" applyBorder="1" applyAlignment="1">
      <alignment horizontal="center" vertical="top" wrapText="1"/>
    </xf>
    <xf numFmtId="0" fontId="12" fillId="23" borderId="22" xfId="0" applyFont="1" applyFill="1" applyBorder="1" applyAlignment="1">
      <alignment/>
    </xf>
    <xf numFmtId="0" fontId="12" fillId="23" borderId="13" xfId="0" applyFont="1" applyFill="1" applyBorder="1" applyAlignment="1">
      <alignment/>
    </xf>
    <xf numFmtId="0" fontId="7" fillId="24" borderId="66" xfId="0" applyFont="1" applyFill="1" applyBorder="1" applyAlignment="1">
      <alignment/>
    </xf>
    <xf numFmtId="0" fontId="7" fillId="24" borderId="13" xfId="0" applyFont="1" applyFill="1" applyBorder="1" applyAlignment="1">
      <alignment/>
    </xf>
    <xf numFmtId="0" fontId="7" fillId="24" borderId="22" xfId="0" applyFont="1" applyFill="1" applyBorder="1" applyAlignment="1">
      <alignment/>
    </xf>
    <xf numFmtId="0" fontId="9" fillId="4" borderId="42" xfId="0" applyFont="1" applyFill="1" applyBorder="1" applyAlignment="1">
      <alignment/>
    </xf>
    <xf numFmtId="0" fontId="11" fillId="4" borderId="14" xfId="0" applyFont="1" applyFill="1" applyBorder="1" applyAlignment="1">
      <alignment/>
    </xf>
    <xf numFmtId="0" fontId="11" fillId="4" borderId="27" xfId="0" applyFont="1" applyFill="1" applyBorder="1" applyAlignment="1">
      <alignment/>
    </xf>
    <xf numFmtId="0" fontId="9" fillId="4" borderId="27" xfId="0" applyFont="1" applyFill="1" applyBorder="1" applyAlignment="1">
      <alignment/>
    </xf>
    <xf numFmtId="0" fontId="9" fillId="4" borderId="14" xfId="0" applyFont="1" applyFill="1" applyBorder="1" applyAlignment="1">
      <alignment/>
    </xf>
    <xf numFmtId="170" fontId="11" fillId="4" borderId="15" xfId="17" applyFont="1" applyFill="1" applyBorder="1" applyAlignment="1">
      <alignment/>
    </xf>
    <xf numFmtId="3" fontId="29" fillId="22" borderId="0" xfId="0" applyNumberFormat="1" applyFont="1" applyFill="1" applyBorder="1" applyAlignment="1">
      <alignment/>
    </xf>
    <xf numFmtId="3" fontId="0" fillId="0" borderId="0" xfId="0" applyNumberFormat="1" applyBorder="1" applyAlignment="1">
      <alignment/>
    </xf>
    <xf numFmtId="0" fontId="0" fillId="0" borderId="23" xfId="0" applyBorder="1" applyAlignment="1">
      <alignment horizontal="center" vertical="top"/>
    </xf>
    <xf numFmtId="0" fontId="0" fillId="0" borderId="24" xfId="0" applyBorder="1" applyAlignment="1">
      <alignment vertical="top" wrapText="1"/>
    </xf>
    <xf numFmtId="203" fontId="0" fillId="0" borderId="25" xfId="0" applyNumberFormat="1" applyBorder="1" applyAlignment="1">
      <alignment horizontal="right" vertical="top"/>
    </xf>
    <xf numFmtId="0" fontId="0" fillId="0" borderId="40" xfId="0" applyBorder="1" applyAlignment="1">
      <alignment horizontal="center" vertical="top"/>
    </xf>
    <xf numFmtId="0" fontId="0" fillId="0" borderId="6" xfId="0" applyBorder="1" applyAlignment="1">
      <alignment vertical="top" wrapText="1"/>
    </xf>
    <xf numFmtId="203" fontId="0" fillId="0" borderId="36" xfId="0" applyNumberFormat="1" applyBorder="1" applyAlignment="1">
      <alignment horizontal="right" vertical="top"/>
    </xf>
    <xf numFmtId="0" fontId="0" fillId="2" borderId="41" xfId="0" applyFill="1" applyBorder="1" applyAlignment="1">
      <alignment horizontal="center"/>
    </xf>
    <xf numFmtId="0" fontId="0" fillId="2" borderId="33" xfId="0" applyFill="1" applyBorder="1" applyAlignment="1">
      <alignment/>
    </xf>
    <xf numFmtId="0" fontId="0" fillId="2" borderId="34" xfId="0" applyFill="1" applyBorder="1" applyAlignment="1">
      <alignment horizontal="center" vertical="top" wrapText="1"/>
    </xf>
    <xf numFmtId="0" fontId="17" fillId="11" borderId="38" xfId="0" applyFont="1" applyFill="1" applyBorder="1" applyAlignment="1">
      <alignment/>
    </xf>
    <xf numFmtId="0" fontId="17" fillId="11" borderId="1" xfId="0" applyFont="1" applyFill="1" applyBorder="1" applyAlignment="1">
      <alignment/>
    </xf>
    <xf numFmtId="0" fontId="17" fillId="11" borderId="10" xfId="0" applyFont="1" applyFill="1" applyBorder="1" applyAlignment="1">
      <alignment/>
    </xf>
    <xf numFmtId="0" fontId="0" fillId="0" borderId="2" xfId="0" applyFill="1" applyBorder="1" applyAlignment="1">
      <alignment/>
    </xf>
    <xf numFmtId="0" fontId="35" fillId="0" borderId="0" xfId="0" applyFont="1" applyFill="1" applyAlignment="1">
      <alignment/>
    </xf>
    <xf numFmtId="3" fontId="29" fillId="22" borderId="19" xfId="0" applyNumberFormat="1" applyFont="1" applyFill="1" applyBorder="1" applyAlignment="1">
      <alignment/>
    </xf>
    <xf numFmtId="206" fontId="0" fillId="0" borderId="58" xfId="0" applyNumberFormat="1" applyBorder="1" applyAlignment="1">
      <alignment/>
    </xf>
    <xf numFmtId="207" fontId="0" fillId="0" borderId="58" xfId="0" applyNumberFormat="1" applyBorder="1" applyAlignment="1">
      <alignment/>
    </xf>
    <xf numFmtId="0" fontId="0" fillId="0" borderId="67" xfId="0" applyFont="1" applyBorder="1" applyAlignment="1">
      <alignment/>
    </xf>
    <xf numFmtId="1" fontId="0" fillId="0" borderId="12" xfId="0" applyNumberFormat="1" applyFont="1" applyBorder="1" applyAlignment="1">
      <alignment/>
    </xf>
    <xf numFmtId="1" fontId="0" fillId="0" borderId="67" xfId="0" applyNumberFormat="1" applyFont="1" applyBorder="1" applyAlignment="1">
      <alignment/>
    </xf>
    <xf numFmtId="1" fontId="0" fillId="0" borderId="43" xfId="0" applyNumberFormat="1" applyFont="1" applyBorder="1" applyAlignment="1">
      <alignment/>
    </xf>
    <xf numFmtId="0" fontId="0" fillId="0" borderId="57" xfId="0" applyBorder="1" applyAlignment="1">
      <alignment/>
    </xf>
    <xf numFmtId="0" fontId="0" fillId="0" borderId="56" xfId="0" applyBorder="1" applyAlignment="1">
      <alignment/>
    </xf>
    <xf numFmtId="0" fontId="0" fillId="0" borderId="44" xfId="0" applyBorder="1" applyAlignment="1">
      <alignment/>
    </xf>
    <xf numFmtId="0" fontId="0" fillId="0" borderId="43" xfId="0" applyBorder="1" applyAlignment="1">
      <alignment horizontal="center"/>
    </xf>
    <xf numFmtId="0" fontId="0" fillId="0" borderId="67" xfId="0" applyBorder="1" applyAlignment="1">
      <alignment/>
    </xf>
    <xf numFmtId="3" fontId="30" fillId="0" borderId="43" xfId="0" applyNumberFormat="1" applyFont="1" applyBorder="1" applyAlignment="1">
      <alignment/>
    </xf>
    <xf numFmtId="0" fontId="0" fillId="0" borderId="43" xfId="0" applyBorder="1" applyAlignment="1">
      <alignment/>
    </xf>
    <xf numFmtId="0" fontId="30" fillId="0" borderId="67" xfId="0" applyFont="1" applyBorder="1" applyAlignment="1">
      <alignment horizontal="center"/>
    </xf>
    <xf numFmtId="0" fontId="0" fillId="0" borderId="68" xfId="0" applyFont="1" applyBorder="1" applyAlignment="1">
      <alignment/>
    </xf>
    <xf numFmtId="1" fontId="0" fillId="0" borderId="43" xfId="0" applyNumberFormat="1" applyFont="1" applyBorder="1" applyAlignment="1">
      <alignment horizontal="center"/>
    </xf>
    <xf numFmtId="170" fontId="0" fillId="0" borderId="67" xfId="17" applyFont="1" applyBorder="1" applyAlignment="1">
      <alignment/>
    </xf>
    <xf numFmtId="170" fontId="0" fillId="0" borderId="12" xfId="0" applyNumberFormat="1" applyFont="1" applyBorder="1" applyAlignment="1">
      <alignment/>
    </xf>
    <xf numFmtId="170" fontId="0" fillId="0" borderId="53" xfId="0" applyNumberFormat="1" applyFont="1" applyBorder="1" applyAlignment="1">
      <alignment/>
    </xf>
    <xf numFmtId="170" fontId="9" fillId="5" borderId="3" xfId="0" applyNumberFormat="1" applyFont="1" applyFill="1" applyBorder="1" applyAlignment="1">
      <alignment/>
    </xf>
    <xf numFmtId="170" fontId="0" fillId="0" borderId="12" xfId="17" applyNumberFormat="1" applyFont="1" applyBorder="1" applyAlignment="1">
      <alignment horizontal="right"/>
    </xf>
    <xf numFmtId="0" fontId="0" fillId="0" borderId="47"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horizontal="center"/>
    </xf>
    <xf numFmtId="0" fontId="0" fillId="0" borderId="9" xfId="0" applyFont="1" applyBorder="1" applyAlignment="1">
      <alignment/>
    </xf>
    <xf numFmtId="170" fontId="0" fillId="0" borderId="12" xfId="17" applyFont="1" applyBorder="1" applyAlignment="1">
      <alignment/>
    </xf>
    <xf numFmtId="0" fontId="0" fillId="0" borderId="2" xfId="0" applyFont="1" applyFill="1" applyBorder="1" applyAlignment="1">
      <alignment/>
    </xf>
    <xf numFmtId="0" fontId="0" fillId="0" borderId="68" xfId="0" applyFont="1" applyBorder="1" applyAlignment="1">
      <alignment/>
    </xf>
    <xf numFmtId="0" fontId="0" fillId="0" borderId="56" xfId="0" applyFont="1" applyBorder="1" applyAlignment="1">
      <alignment/>
    </xf>
    <xf numFmtId="0" fontId="0" fillId="0" borderId="44" xfId="0" applyFont="1" applyBorder="1" applyAlignment="1">
      <alignment/>
    </xf>
    <xf numFmtId="0" fontId="0" fillId="0" borderId="43" xfId="0" applyFont="1" applyBorder="1" applyAlignment="1">
      <alignment horizontal="center"/>
    </xf>
    <xf numFmtId="0" fontId="0" fillId="0" borderId="43" xfId="0" applyFont="1" applyBorder="1" applyAlignment="1">
      <alignment/>
    </xf>
    <xf numFmtId="170" fontId="0" fillId="0" borderId="67" xfId="17" applyFont="1" applyBorder="1" applyAlignment="1">
      <alignment/>
    </xf>
    <xf numFmtId="0" fontId="17" fillId="20" borderId="57" xfId="0" applyFont="1" applyFill="1" applyBorder="1" applyAlignment="1">
      <alignment/>
    </xf>
    <xf numFmtId="0" fontId="17" fillId="20" borderId="56" xfId="0" applyFont="1" applyFill="1" applyBorder="1" applyAlignment="1">
      <alignment/>
    </xf>
    <xf numFmtId="0" fontId="15" fillId="20" borderId="56" xfId="0" applyFont="1" applyFill="1" applyBorder="1" applyAlignment="1">
      <alignment/>
    </xf>
    <xf numFmtId="170" fontId="15" fillId="20" borderId="69" xfId="17" applyFont="1" applyFill="1" applyBorder="1" applyAlignment="1">
      <alignment/>
    </xf>
    <xf numFmtId="0" fontId="11" fillId="12" borderId="39" xfId="0" applyFont="1" applyFill="1" applyBorder="1" applyAlignment="1">
      <alignment/>
    </xf>
    <xf numFmtId="0" fontId="11" fillId="12" borderId="70" xfId="0" applyFont="1" applyFill="1" applyBorder="1" applyAlignment="1">
      <alignment/>
    </xf>
    <xf numFmtId="0" fontId="11" fillId="12" borderId="14" xfId="0" applyFont="1" applyFill="1" applyBorder="1" applyAlignment="1">
      <alignment/>
    </xf>
    <xf numFmtId="0" fontId="11" fillId="12" borderId="27" xfId="0" applyFont="1" applyFill="1" applyBorder="1" applyAlignment="1">
      <alignment/>
    </xf>
    <xf numFmtId="0" fontId="11" fillId="12" borderId="32" xfId="0" applyFont="1" applyFill="1" applyBorder="1" applyAlignment="1">
      <alignment/>
    </xf>
    <xf numFmtId="0" fontId="11" fillId="12" borderId="32" xfId="0" applyFont="1" applyFill="1" applyBorder="1" applyAlignment="1">
      <alignment horizontal="center"/>
    </xf>
    <xf numFmtId="170" fontId="11" fillId="12" borderId="35" xfId="17" applyFont="1" applyFill="1" applyBorder="1" applyAlignment="1">
      <alignment/>
    </xf>
    <xf numFmtId="170" fontId="0" fillId="0" borderId="12" xfId="0" applyNumberFormat="1" applyFont="1" applyBorder="1" applyAlignment="1">
      <alignment/>
    </xf>
    <xf numFmtId="0" fontId="0" fillId="0" borderId="0" xfId="0" applyAlignment="1">
      <alignment wrapText="1"/>
    </xf>
    <xf numFmtId="0" fontId="0" fillId="0" borderId="71" xfId="0" applyFont="1" applyBorder="1" applyAlignment="1">
      <alignment/>
    </xf>
    <xf numFmtId="2" fontId="0" fillId="0" borderId="43" xfId="0" applyNumberFormat="1" applyFont="1" applyBorder="1" applyAlignment="1">
      <alignment horizontal="center"/>
    </xf>
    <xf numFmtId="2" fontId="30" fillId="0" borderId="9" xfId="0" applyNumberFormat="1" applyFont="1" applyFill="1" applyBorder="1" applyAlignment="1">
      <alignment/>
    </xf>
    <xf numFmtId="2" fontId="0" fillId="0" borderId="12" xfId="0" applyNumberFormat="1" applyBorder="1" applyAlignment="1">
      <alignment/>
    </xf>
    <xf numFmtId="2" fontId="30" fillId="0" borderId="19" xfId="0" applyNumberFormat="1" applyFont="1" applyFill="1" applyBorder="1" applyAlignment="1">
      <alignment/>
    </xf>
    <xf numFmtId="0" fontId="0" fillId="0" borderId="19" xfId="0" applyBorder="1" applyAlignment="1">
      <alignment horizontal="center"/>
    </xf>
    <xf numFmtId="2" fontId="0" fillId="0" borderId="28" xfId="0" applyNumberFormat="1" applyBorder="1" applyAlignment="1">
      <alignment/>
    </xf>
    <xf numFmtId="170" fontId="0" fillId="0" borderId="16" xfId="17" applyFont="1" applyBorder="1" applyAlignment="1">
      <alignment/>
    </xf>
    <xf numFmtId="170" fontId="8" fillId="0" borderId="28" xfId="17" applyFont="1" applyBorder="1" applyAlignment="1">
      <alignment/>
    </xf>
    <xf numFmtId="0" fontId="31" fillId="0" borderId="46" xfId="0" applyFont="1" applyBorder="1" applyAlignment="1">
      <alignment/>
    </xf>
    <xf numFmtId="0" fontId="31" fillId="0" borderId="19" xfId="0" applyFont="1" applyBorder="1" applyAlignment="1">
      <alignment/>
    </xf>
    <xf numFmtId="0" fontId="0" fillId="0" borderId="43" xfId="0" applyFont="1" applyBorder="1" applyAlignment="1">
      <alignment horizontal="center"/>
    </xf>
    <xf numFmtId="170" fontId="0" fillId="0" borderId="67" xfId="0" applyNumberFormat="1" applyFont="1" applyBorder="1" applyAlignment="1">
      <alignment/>
    </xf>
    <xf numFmtId="0" fontId="9" fillId="25" borderId="42" xfId="0" applyFont="1" applyFill="1" applyBorder="1" applyAlignment="1">
      <alignment/>
    </xf>
    <xf numFmtId="0" fontId="6" fillId="25" borderId="14" xfId="0" applyFont="1" applyFill="1" applyBorder="1" applyAlignment="1">
      <alignment/>
    </xf>
    <xf numFmtId="170" fontId="6" fillId="25" borderId="15" xfId="17" applyFont="1" applyFill="1" applyBorder="1" applyAlignment="1">
      <alignment/>
    </xf>
    <xf numFmtId="0" fontId="0" fillId="0" borderId="57" xfId="0" applyFont="1" applyFill="1" applyBorder="1" applyAlignment="1">
      <alignment/>
    </xf>
    <xf numFmtId="0" fontId="0" fillId="2" borderId="9" xfId="0" applyFont="1" applyFill="1" applyBorder="1" applyAlignment="1">
      <alignment/>
    </xf>
    <xf numFmtId="0" fontId="0" fillId="2" borderId="9" xfId="0" applyFont="1" applyFill="1" applyBorder="1" applyAlignment="1">
      <alignment horizontal="center"/>
    </xf>
    <xf numFmtId="170" fontId="0" fillId="2" borderId="12" xfId="17" applyFont="1" applyFill="1" applyBorder="1" applyAlignment="1">
      <alignment/>
    </xf>
    <xf numFmtId="0" fontId="0" fillId="0" borderId="18" xfId="0" applyFont="1" applyFill="1" applyBorder="1" applyAlignment="1">
      <alignment/>
    </xf>
    <xf numFmtId="0" fontId="0" fillId="0" borderId="19" xfId="0" applyFont="1" applyBorder="1" applyAlignment="1">
      <alignment/>
    </xf>
    <xf numFmtId="0" fontId="0" fillId="0" borderId="45" xfId="0" applyFont="1" applyBorder="1" applyAlignment="1">
      <alignment/>
    </xf>
    <xf numFmtId="0" fontId="0" fillId="0" borderId="24" xfId="0" applyFont="1" applyBorder="1" applyAlignment="1">
      <alignment/>
    </xf>
    <xf numFmtId="170" fontId="9" fillId="0" borderId="25" xfId="17" applyFont="1" applyBorder="1" applyAlignment="1">
      <alignment/>
    </xf>
    <xf numFmtId="1" fontId="0" fillId="0" borderId="24" xfId="0" applyNumberFormat="1" applyFont="1" applyBorder="1" applyAlignment="1">
      <alignment/>
    </xf>
    <xf numFmtId="170" fontId="6" fillId="5" borderId="28" xfId="17" applyFont="1" applyFill="1" applyBorder="1" applyAlignment="1">
      <alignment/>
    </xf>
    <xf numFmtId="170" fontId="6" fillId="5" borderId="28" xfId="0" applyNumberFormat="1" applyFont="1" applyFill="1" applyBorder="1" applyAlignment="1">
      <alignment/>
    </xf>
    <xf numFmtId="0" fontId="0" fillId="0" borderId="16" xfId="0" applyFont="1" applyBorder="1" applyAlignment="1">
      <alignment/>
    </xf>
    <xf numFmtId="0" fontId="11" fillId="11" borderId="1" xfId="0" applyFont="1" applyFill="1" applyBorder="1" applyAlignment="1">
      <alignment/>
    </xf>
    <xf numFmtId="0" fontId="21" fillId="11" borderId="1" xfId="0" applyFont="1" applyFill="1" applyBorder="1" applyAlignment="1">
      <alignment/>
    </xf>
    <xf numFmtId="0" fontId="0" fillId="0" borderId="67" xfId="0" applyFont="1" applyBorder="1" applyAlignment="1">
      <alignment horizontal="right"/>
    </xf>
    <xf numFmtId="0" fontId="0" fillId="0" borderId="72" xfId="0" applyFont="1" applyBorder="1" applyAlignment="1">
      <alignment/>
    </xf>
    <xf numFmtId="0" fontId="0" fillId="0" borderId="73" xfId="0" applyFont="1" applyBorder="1" applyAlignment="1">
      <alignment/>
    </xf>
    <xf numFmtId="0" fontId="0" fillId="0" borderId="74" xfId="0" applyFont="1" applyFill="1" applyBorder="1" applyAlignment="1">
      <alignment/>
    </xf>
    <xf numFmtId="0" fontId="0" fillId="0" borderId="75" xfId="0" applyFont="1" applyBorder="1" applyAlignment="1">
      <alignment/>
    </xf>
    <xf numFmtId="170" fontId="6" fillId="5" borderId="3" xfId="17" applyFont="1" applyFill="1" applyBorder="1" applyAlignment="1">
      <alignment/>
    </xf>
    <xf numFmtId="172" fontId="0" fillId="0" borderId="0" xfId="0" applyNumberFormat="1" applyBorder="1" applyAlignment="1">
      <alignment/>
    </xf>
    <xf numFmtId="0" fontId="21" fillId="11" borderId="42" xfId="0" applyFont="1" applyFill="1" applyBorder="1" applyAlignment="1">
      <alignment/>
    </xf>
    <xf numFmtId="0" fontId="0" fillId="11" borderId="14" xfId="0" applyFill="1" applyBorder="1" applyAlignment="1">
      <alignment/>
    </xf>
    <xf numFmtId="0" fontId="9" fillId="11" borderId="15" xfId="0" applyFont="1" applyFill="1" applyBorder="1" applyAlignment="1">
      <alignment horizontal="right"/>
    </xf>
    <xf numFmtId="0" fontId="0" fillId="0" borderId="18" xfId="0" applyFont="1" applyBorder="1" applyAlignment="1">
      <alignment/>
    </xf>
    <xf numFmtId="170" fontId="0" fillId="19" borderId="25" xfId="0" applyNumberFormat="1" applyFont="1" applyFill="1" applyBorder="1" applyAlignment="1">
      <alignment/>
    </xf>
    <xf numFmtId="0" fontId="13" fillId="21" borderId="38" xfId="0" applyFont="1" applyFill="1" applyBorder="1" applyAlignment="1">
      <alignment/>
    </xf>
    <xf numFmtId="0" fontId="13" fillId="21" borderId="1" xfId="0" applyFont="1" applyFill="1" applyBorder="1" applyAlignment="1">
      <alignment/>
    </xf>
    <xf numFmtId="0" fontId="6" fillId="21" borderId="1" xfId="0" applyFont="1" applyFill="1" applyBorder="1" applyAlignment="1">
      <alignment/>
    </xf>
    <xf numFmtId="0" fontId="13" fillId="21" borderId="19" xfId="0" applyFont="1" applyFill="1" applyBorder="1" applyAlignment="1">
      <alignment/>
    </xf>
    <xf numFmtId="0" fontId="6" fillId="21" borderId="19" xfId="0" applyFont="1" applyFill="1" applyBorder="1" applyAlignment="1">
      <alignment/>
    </xf>
    <xf numFmtId="0" fontId="6" fillId="21" borderId="60" xfId="0" applyFont="1" applyFill="1" applyBorder="1" applyAlignment="1">
      <alignment horizontal="right"/>
    </xf>
    <xf numFmtId="0" fontId="6" fillId="21" borderId="76" xfId="0" applyFont="1" applyFill="1" applyBorder="1" applyAlignment="1">
      <alignment horizontal="right"/>
    </xf>
    <xf numFmtId="0" fontId="6" fillId="21" borderId="77" xfId="0" applyFont="1" applyFill="1" applyBorder="1" applyAlignment="1">
      <alignment horizontal="right"/>
    </xf>
    <xf numFmtId="0" fontId="6" fillId="21" borderId="78" xfId="0" applyFont="1" applyFill="1" applyBorder="1" applyAlignment="1">
      <alignment horizontal="right"/>
    </xf>
    <xf numFmtId="0" fontId="37" fillId="21" borderId="18" xfId="0" applyFont="1" applyFill="1" applyBorder="1" applyAlignment="1">
      <alignment/>
    </xf>
    <xf numFmtId="172" fontId="0" fillId="0" borderId="12" xfId="0" applyNumberFormat="1" applyBorder="1" applyAlignment="1">
      <alignment/>
    </xf>
    <xf numFmtId="0" fontId="0" fillId="0" borderId="0" xfId="0" applyNumberFormat="1" applyAlignment="1">
      <alignment/>
    </xf>
    <xf numFmtId="0" fontId="0" fillId="0" borderId="23" xfId="0" applyBorder="1" applyAlignment="1">
      <alignment horizontal="center"/>
    </xf>
    <xf numFmtId="0" fontId="0" fillId="2" borderId="39" xfId="0" applyFill="1" applyBorder="1" applyAlignment="1">
      <alignment/>
    </xf>
    <xf numFmtId="0" fontId="0" fillId="2" borderId="32" xfId="0" applyFill="1" applyBorder="1" applyAlignment="1">
      <alignment/>
    </xf>
    <xf numFmtId="0" fontId="0" fillId="2" borderId="35" xfId="0" applyFill="1" applyBorder="1" applyAlignment="1">
      <alignment/>
    </xf>
    <xf numFmtId="168" fontId="0" fillId="0" borderId="25" xfId="0" applyNumberFormat="1" applyBorder="1" applyAlignment="1">
      <alignment/>
    </xf>
    <xf numFmtId="0" fontId="7" fillId="21" borderId="17" xfId="0" applyFont="1" applyFill="1" applyBorder="1" applyAlignment="1">
      <alignment vertical="center" wrapText="1"/>
    </xf>
    <xf numFmtId="0" fontId="6" fillId="5" borderId="17" xfId="0" applyFont="1" applyFill="1" applyBorder="1" applyAlignment="1">
      <alignment vertical="center" wrapText="1"/>
    </xf>
    <xf numFmtId="0" fontId="26" fillId="0" borderId="10" xfId="0" applyNumberFormat="1" applyFont="1" applyBorder="1" applyAlignment="1">
      <alignment horizontal="justify" vertical="top" wrapText="1"/>
    </xf>
    <xf numFmtId="0" fontId="26" fillId="0" borderId="3" xfId="0" applyNumberFormat="1" applyFont="1" applyBorder="1" applyAlignment="1">
      <alignment horizontal="justify" vertical="top" wrapText="1"/>
    </xf>
    <xf numFmtId="0" fontId="26" fillId="0" borderId="28" xfId="0" applyFont="1" applyBorder="1" applyAlignment="1">
      <alignment horizontal="justify" vertical="top" wrapText="1"/>
    </xf>
    <xf numFmtId="0" fontId="26" fillId="0" borderId="10" xfId="0" applyNumberFormat="1" applyFont="1" applyBorder="1" applyAlignment="1" applyProtection="1">
      <alignment horizontal="justify" vertical="top" wrapText="1"/>
      <protection locked="0"/>
    </xf>
    <xf numFmtId="0" fontId="26" fillId="0" borderId="28" xfId="0" applyNumberFormat="1" applyFont="1" applyBorder="1" applyAlignment="1">
      <alignment horizontal="justify" vertical="center" wrapText="1"/>
    </xf>
    <xf numFmtId="0" fontId="27" fillId="0" borderId="10" xfId="0" applyNumberFormat="1" applyFont="1" applyBorder="1" applyAlignment="1">
      <alignment horizontal="justify" vertical="top" wrapText="1"/>
    </xf>
    <xf numFmtId="0" fontId="27" fillId="0" borderId="3" xfId="0" applyFont="1" applyBorder="1" applyAlignment="1">
      <alignment horizontal="justify" vertical="center" wrapText="1"/>
    </xf>
    <xf numFmtId="0" fontId="27" fillId="0" borderId="28" xfId="0" applyFont="1" applyBorder="1" applyAlignment="1">
      <alignment horizontal="justify" vertical="center" wrapText="1"/>
    </xf>
    <xf numFmtId="0" fontId="26" fillId="0" borderId="10" xfId="0" applyFont="1" applyBorder="1" applyAlignment="1">
      <alignment horizontal="justify" vertical="center" wrapText="1"/>
    </xf>
    <xf numFmtId="0" fontId="26" fillId="0" borderId="3" xfId="0" applyFont="1" applyBorder="1" applyAlignment="1">
      <alignment horizontal="justify" vertical="center" wrapText="1"/>
    </xf>
    <xf numFmtId="0" fontId="33" fillId="22" borderId="16"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28" xfId="0" applyNumberFormat="1" applyFont="1" applyBorder="1" applyAlignment="1">
      <alignment horizontal="justify" vertical="top" wrapText="1"/>
    </xf>
    <xf numFmtId="0" fontId="10" fillId="4" borderId="22" xfId="0" applyFont="1" applyFill="1" applyBorder="1" applyAlignment="1">
      <alignment/>
    </xf>
    <xf numFmtId="0" fontId="7" fillId="2" borderId="22" xfId="0" applyFont="1" applyFill="1" applyBorder="1" applyAlignment="1">
      <alignment/>
    </xf>
    <xf numFmtId="0" fontId="10" fillId="4" borderId="17" xfId="0" applyFont="1" applyFill="1" applyBorder="1" applyAlignment="1">
      <alignment/>
    </xf>
    <xf numFmtId="0" fontId="7" fillId="2" borderId="17"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12" fillId="15" borderId="17" xfId="0" applyFont="1" applyFill="1" applyBorder="1" applyAlignment="1">
      <alignment/>
    </xf>
    <xf numFmtId="0" fontId="19" fillId="15" borderId="22" xfId="0" applyFont="1" applyFill="1" applyBorder="1" applyAlignment="1">
      <alignment/>
    </xf>
    <xf numFmtId="0" fontId="19" fillId="15" borderId="17" xfId="0" applyFont="1" applyFill="1" applyBorder="1" applyAlignment="1">
      <alignment/>
    </xf>
    <xf numFmtId="0" fontId="0" fillId="0" borderId="0" xfId="0" applyFont="1" applyFill="1" applyBorder="1" applyAlignment="1">
      <alignment vertical="top" wrapText="1"/>
    </xf>
    <xf numFmtId="0" fontId="0" fillId="0" borderId="3" xfId="0" applyFont="1" applyFill="1" applyBorder="1" applyAlignment="1">
      <alignment vertical="top" wrapText="1"/>
    </xf>
    <xf numFmtId="0" fontId="15" fillId="5" borderId="22" xfId="0" applyFont="1" applyFill="1" applyBorder="1" applyAlignment="1">
      <alignment/>
    </xf>
    <xf numFmtId="0" fontId="15" fillId="5" borderId="13" xfId="0" applyFont="1" applyFill="1" applyBorder="1" applyAlignment="1">
      <alignment/>
    </xf>
    <xf numFmtId="0" fontId="15" fillId="5" borderId="22" xfId="0" applyFont="1" applyFill="1" applyBorder="1" applyAlignment="1">
      <alignment/>
    </xf>
    <xf numFmtId="0" fontId="15" fillId="5" borderId="13"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Summary of Results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Summary!$D$5:$D$8</c:f>
              <c:numCache/>
            </c:numRef>
          </c:val>
        </c:ser>
        <c:axId val="24858715"/>
        <c:axId val="22401844"/>
      </c:barChart>
      <c:catAx>
        <c:axId val="24858715"/>
        <c:scaling>
          <c:orientation val="minMax"/>
        </c:scaling>
        <c:axPos val="b"/>
        <c:title>
          <c:tx>
            <c:rich>
              <a:bodyPr vert="horz" rot="0" anchor="ctr"/>
              <a:lstStyle/>
              <a:p>
                <a:pPr algn="ctr">
                  <a:defRPr/>
                </a:pPr>
                <a:r>
                  <a:rPr lang="en-US" cap="none" sz="900" b="1" i="0" u="none" baseline="0">
                    <a:latin typeface="Arial"/>
                    <a:ea typeface="Arial"/>
                    <a:cs typeface="Arial"/>
                  </a:rPr>
                  <a:t>Options</a:t>
                </a:r>
              </a:p>
            </c:rich>
          </c:tx>
          <c:layout/>
          <c:overlay val="0"/>
          <c:spPr>
            <a:noFill/>
            <a:ln>
              <a:noFill/>
            </a:ln>
          </c:spPr>
        </c:title>
        <c:delete val="0"/>
        <c:numFmt formatCode="General" sourceLinked="1"/>
        <c:majorTickMark val="out"/>
        <c:minorTickMark val="none"/>
        <c:tickLblPos val="nextTo"/>
        <c:crossAx val="22401844"/>
        <c:crosses val="autoZero"/>
        <c:auto val="1"/>
        <c:lblOffset val="100"/>
        <c:noMultiLvlLbl val="0"/>
      </c:catAx>
      <c:valAx>
        <c:axId val="22401844"/>
        <c:scaling>
          <c:orientation val="minMax"/>
        </c:scaling>
        <c:axPos val="l"/>
        <c:title>
          <c:tx>
            <c:rich>
              <a:bodyPr vert="horz" rot="-5400000" anchor="ctr"/>
              <a:lstStyle/>
              <a:p>
                <a:pPr algn="ctr">
                  <a:defRPr/>
                </a:pPr>
                <a:r>
                  <a:rPr lang="en-US" cap="none" sz="900" b="1" i="0" u="none" baseline="0">
                    <a:latin typeface="Arial"/>
                    <a:ea typeface="Arial"/>
                    <a:cs typeface="Arial"/>
                  </a:rPr>
                  <a:t>Total Annual Costs</a:t>
                </a:r>
              </a:p>
            </c:rich>
          </c:tx>
          <c:layout/>
          <c:overlay val="0"/>
          <c:spPr>
            <a:noFill/>
            <a:ln>
              <a:noFill/>
            </a:ln>
          </c:spPr>
        </c:title>
        <c:majorGridlines/>
        <c:delete val="0"/>
        <c:numFmt formatCode="General" sourceLinked="1"/>
        <c:majorTickMark val="out"/>
        <c:minorTickMark val="none"/>
        <c:tickLblPos val="nextTo"/>
        <c:crossAx val="248587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114300</xdr:rowOff>
    </xdr:from>
    <xdr:to>
      <xdr:col>2</xdr:col>
      <xdr:colOff>809625</xdr:colOff>
      <xdr:row>0</xdr:row>
      <xdr:rowOff>619125</xdr:rowOff>
    </xdr:to>
    <xdr:pic>
      <xdr:nvPicPr>
        <xdr:cNvPr id="1" name="Picture 1"/>
        <xdr:cNvPicPr preferRelativeResize="1">
          <a:picLocks noChangeAspect="1"/>
        </xdr:cNvPicPr>
      </xdr:nvPicPr>
      <xdr:blipFill>
        <a:blip r:embed="rId1"/>
        <a:stretch>
          <a:fillRect/>
        </a:stretch>
      </xdr:blipFill>
      <xdr:spPr>
        <a:xfrm>
          <a:off x="304800" y="114300"/>
          <a:ext cx="20002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11</xdr:col>
      <xdr:colOff>590550</xdr:colOff>
      <xdr:row>7</xdr:row>
      <xdr:rowOff>266700</xdr:rowOff>
    </xdr:to>
    <xdr:graphicFrame>
      <xdr:nvGraphicFramePr>
        <xdr:cNvPr id="1" name="Chart 2"/>
        <xdr:cNvGraphicFramePr/>
      </xdr:nvGraphicFramePr>
      <xdr:xfrm>
        <a:off x="4019550" y="590550"/>
        <a:ext cx="4238625" cy="2676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rge%20Emmanuel\Local%20Settings\Temporary%20Internet%20Files\OLK12\HCWM_CAT_2007%20WHO%20tool%20cos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Tool A"/>
      <sheetName val="Tool B1"/>
      <sheetName val="Tool B2"/>
      <sheetName val="Tool B3"/>
      <sheetName val="Tool B4"/>
      <sheetName val="Tool C"/>
    </sheetNames>
    <sheetDataSet>
      <sheetData sheetId="2">
        <row r="6">
          <cell r="E6">
            <v>0.2</v>
          </cell>
        </row>
        <row r="9">
          <cell r="E9">
            <v>10</v>
          </cell>
        </row>
        <row r="10">
          <cell r="E10">
            <v>300</v>
          </cell>
        </row>
        <row r="11">
          <cell r="E11">
            <v>4</v>
          </cell>
          <cell r="G11">
            <v>1</v>
          </cell>
        </row>
        <row r="20">
          <cell r="E20">
            <v>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zoomScale="125" zoomScaleNormal="125" zoomScaleSheetLayoutView="100" workbookViewId="0" topLeftCell="A3">
      <selection activeCell="A1" sqref="A1"/>
    </sheetView>
  </sheetViews>
  <sheetFormatPr defaultColWidth="9.140625" defaultRowHeight="12.75"/>
  <cols>
    <col min="1" max="1" width="4.57421875" style="0" customWidth="1"/>
    <col min="2" max="2" width="17.8515625" style="0" customWidth="1"/>
    <col min="3" max="3" width="39.140625" style="0" customWidth="1"/>
    <col min="4" max="4" width="68.8515625" style="0" customWidth="1"/>
  </cols>
  <sheetData>
    <row r="1" spans="1:4" ht="55.5" customHeight="1">
      <c r="A1" s="323"/>
      <c r="B1" s="4"/>
      <c r="C1" s="4"/>
      <c r="D1" s="16"/>
    </row>
    <row r="2" spans="1:4" ht="23.25">
      <c r="A2" s="5"/>
      <c r="B2" s="330" t="s">
        <v>506</v>
      </c>
      <c r="C2" s="6"/>
      <c r="D2" s="7"/>
    </row>
    <row r="3" spans="1:4" s="6" customFormat="1" ht="18.75" thickBot="1">
      <c r="A3" s="300"/>
      <c r="B3" s="331" t="s">
        <v>507</v>
      </c>
      <c r="C3" s="316"/>
      <c r="D3" s="301"/>
    </row>
    <row r="4" s="6" customFormat="1" ht="6.75" customHeight="1" thickBot="1"/>
    <row r="5" spans="1:4" ht="18">
      <c r="A5" s="323"/>
      <c r="B5" s="332" t="s">
        <v>321</v>
      </c>
      <c r="C5" s="332"/>
      <c r="D5" s="333"/>
    </row>
    <row r="6" spans="1:4" ht="12.75">
      <c r="A6" s="5"/>
      <c r="B6" s="334" t="s">
        <v>322</v>
      </c>
      <c r="C6" s="334" t="s">
        <v>323</v>
      </c>
      <c r="D6" s="335" t="s">
        <v>321</v>
      </c>
    </row>
    <row r="7" spans="1:4" ht="12.75">
      <c r="A7" s="5"/>
      <c r="B7" s="6" t="s">
        <v>324</v>
      </c>
      <c r="C7" s="6"/>
      <c r="D7" s="337" t="s">
        <v>325</v>
      </c>
    </row>
    <row r="8" spans="1:4" ht="12.75">
      <c r="A8" s="5"/>
      <c r="B8" s="336" t="s">
        <v>327</v>
      </c>
      <c r="C8" s="338" t="s">
        <v>345</v>
      </c>
      <c r="D8" s="337" t="s">
        <v>368</v>
      </c>
    </row>
    <row r="9" spans="1:4" ht="12.75">
      <c r="A9" s="5"/>
      <c r="B9" s="6" t="s">
        <v>218</v>
      </c>
      <c r="C9" s="338" t="s">
        <v>345</v>
      </c>
      <c r="D9" s="7" t="s">
        <v>336</v>
      </c>
    </row>
    <row r="10" spans="1:4" ht="12.75">
      <c r="A10" s="5"/>
      <c r="B10" s="6" t="s">
        <v>328</v>
      </c>
      <c r="C10" s="338" t="s">
        <v>333</v>
      </c>
      <c r="D10" s="7" t="s">
        <v>369</v>
      </c>
    </row>
    <row r="11" spans="1:4" ht="12.75">
      <c r="A11" s="5"/>
      <c r="B11" s="6" t="s">
        <v>329</v>
      </c>
      <c r="C11" s="338" t="s">
        <v>333</v>
      </c>
      <c r="D11" s="7" t="s">
        <v>370</v>
      </c>
    </row>
    <row r="12" spans="1:4" ht="12.75">
      <c r="A12" s="5"/>
      <c r="B12" s="6" t="s">
        <v>330</v>
      </c>
      <c r="C12" s="338" t="s">
        <v>333</v>
      </c>
      <c r="D12" s="7" t="s">
        <v>371</v>
      </c>
    </row>
    <row r="13" spans="1:4" ht="12.75">
      <c r="A13" s="5"/>
      <c r="B13" s="6" t="s">
        <v>331</v>
      </c>
      <c r="C13" s="338" t="s">
        <v>334</v>
      </c>
      <c r="D13" s="7" t="s">
        <v>372</v>
      </c>
    </row>
    <row r="14" spans="1:4" ht="12.75">
      <c r="A14" s="5"/>
      <c r="B14" s="6" t="s">
        <v>326</v>
      </c>
      <c r="C14" s="338" t="s">
        <v>335</v>
      </c>
      <c r="D14" s="7" t="s">
        <v>373</v>
      </c>
    </row>
    <row r="15" spans="1:4" ht="12.75">
      <c r="A15" s="5"/>
      <c r="B15" s="6" t="s">
        <v>332</v>
      </c>
      <c r="C15" s="338" t="s">
        <v>345</v>
      </c>
      <c r="D15" s="7" t="s">
        <v>337</v>
      </c>
    </row>
    <row r="16" spans="1:4" ht="12.75">
      <c r="A16" s="5"/>
      <c r="B16" s="298" t="s">
        <v>26</v>
      </c>
      <c r="C16" s="338"/>
      <c r="D16" s="7" t="s">
        <v>27</v>
      </c>
    </row>
    <row r="17" spans="1:4" ht="13.5" thickBot="1">
      <c r="A17" s="339" t="s">
        <v>338</v>
      </c>
      <c r="B17" s="340" t="s">
        <v>339</v>
      </c>
      <c r="C17" s="340"/>
      <c r="D17" s="341"/>
    </row>
    <row r="18" spans="1:4" ht="6.75" customHeight="1" thickBot="1">
      <c r="A18" s="342"/>
      <c r="B18" s="342"/>
      <c r="C18" s="343"/>
      <c r="D18" s="342"/>
    </row>
    <row r="19" spans="1:4" ht="15.75">
      <c r="A19" s="344"/>
      <c r="B19" s="345" t="s">
        <v>340</v>
      </c>
      <c r="C19" s="345"/>
      <c r="D19" s="346"/>
    </row>
    <row r="20" spans="1:4" ht="13.5" thickBot="1">
      <c r="A20" s="347"/>
      <c r="B20" s="348" t="s">
        <v>346</v>
      </c>
      <c r="C20" s="348"/>
      <c r="D20" s="349"/>
    </row>
    <row r="21" spans="1:4" ht="7.5" customHeight="1" thickBot="1">
      <c r="A21" s="342"/>
      <c r="B21" s="342"/>
      <c r="C21" s="343"/>
      <c r="D21" s="342"/>
    </row>
    <row r="22" spans="1:4" ht="15.75">
      <c r="A22" s="344"/>
      <c r="B22" s="345" t="s">
        <v>341</v>
      </c>
      <c r="C22" s="350" t="s">
        <v>342</v>
      </c>
      <c r="D22" s="346"/>
    </row>
    <row r="23" spans="1:4" ht="8.25" customHeight="1">
      <c r="A23" s="351"/>
      <c r="B23" s="352"/>
      <c r="C23" s="353"/>
      <c r="D23" s="354"/>
    </row>
    <row r="24" spans="1:4" ht="41.25" customHeight="1">
      <c r="A24" s="355"/>
      <c r="B24" s="356" t="s">
        <v>343</v>
      </c>
      <c r="C24" s="572" t="s">
        <v>344</v>
      </c>
      <c r="D24" s="573"/>
    </row>
    <row r="25" spans="1:4" ht="7.5" customHeight="1" thickBot="1">
      <c r="A25" s="357"/>
      <c r="B25" s="358"/>
      <c r="C25" s="359"/>
      <c r="D25" s="360"/>
    </row>
    <row r="26" spans="1:4" ht="12.75">
      <c r="A26" s="361"/>
      <c r="B26" s="361"/>
      <c r="C26" s="362"/>
      <c r="D26" s="361"/>
    </row>
  </sheetData>
  <mergeCells count="1">
    <mergeCell ref="C24:D24"/>
  </mergeCells>
  <printOptions/>
  <pageMargins left="0.5" right="0.5" top="0.5" bottom="0.5" header="0.5" footer="0.5"/>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2:L171"/>
  <sheetViews>
    <sheetView workbookViewId="0" topLeftCell="A1">
      <selection activeCell="A1" sqref="A1"/>
    </sheetView>
  </sheetViews>
  <sheetFormatPr defaultColWidth="9.140625" defaultRowHeight="12.75"/>
  <cols>
    <col min="1" max="1" width="4.00390625" style="0" customWidth="1"/>
    <col min="2" max="2" width="5.28125" style="0" customWidth="1"/>
    <col min="3" max="4" width="8.8515625" style="0" customWidth="1"/>
    <col min="5" max="5" width="10.140625" style="0" customWidth="1"/>
    <col min="6" max="6" width="8.8515625" style="0" customWidth="1"/>
    <col min="7" max="7" width="12.8515625" style="0" customWidth="1"/>
    <col min="8" max="8" width="12.421875" style="0" customWidth="1"/>
    <col min="9" max="9" width="12.57421875" style="0" customWidth="1"/>
    <col min="10" max="10" width="17.140625" style="0" customWidth="1"/>
    <col min="11" max="11" width="11.140625" style="0" customWidth="1"/>
    <col min="12" max="16384" width="8.8515625" style="0" customWidth="1"/>
  </cols>
  <sheetData>
    <row r="1" ht="13.5" thickBot="1"/>
    <row r="2" s="138" customFormat="1" ht="18.75" thickBot="1">
      <c r="A2" s="137" t="s">
        <v>28</v>
      </c>
    </row>
    <row r="3" ht="13.5" thickBot="1"/>
    <row r="4" spans="2:9" ht="16.5" thickBot="1">
      <c r="B4" s="305" t="s">
        <v>96</v>
      </c>
      <c r="C4" s="306"/>
      <c r="D4" s="306"/>
      <c r="E4" s="306"/>
      <c r="F4" s="306"/>
      <c r="G4" s="409" t="s">
        <v>293</v>
      </c>
      <c r="H4" s="409" t="s">
        <v>294</v>
      </c>
      <c r="I4" s="410" t="s">
        <v>295</v>
      </c>
    </row>
    <row r="5" spans="2:9" ht="12.75">
      <c r="B5" s="144" t="s">
        <v>289</v>
      </c>
      <c r="C5" s="11"/>
      <c r="D5" s="11"/>
      <c r="E5" s="11"/>
      <c r="F5" s="11"/>
      <c r="G5" s="308">
        <f>Small_HCFs!F7*no_small_HCFs*Small_HCFs!F10+Medium_HCFs!G24*Medium_HCFs!E10*number_medium_HCFs+(Large_HCFs!G27*number_large_A_HCFs+Large_HCFs!Q27*number_large_B_HCFs)*Large_HCFs!E10+Clusters!G41*number_medium_clusters+Clusters!Q41*number_large_clusters</f>
        <v>3727225</v>
      </c>
      <c r="H5" s="308">
        <f>G5/1000</f>
        <v>3727.225</v>
      </c>
      <c r="I5" s="309"/>
    </row>
    <row r="6" spans="2:9" ht="12.75">
      <c r="B6" s="17" t="s">
        <v>290</v>
      </c>
      <c r="C6" s="15"/>
      <c r="D6" s="15"/>
      <c r="E6" s="15"/>
      <c r="F6" s="15"/>
      <c r="G6" s="307">
        <f>G5*(1+1/ratio_inf_to_noninf)</f>
        <v>28097542.307692308</v>
      </c>
      <c r="H6" s="307">
        <f>G6/1000</f>
        <v>28097.542307692307</v>
      </c>
      <c r="I6" s="310"/>
    </row>
    <row r="7" spans="2:9" ht="12.75">
      <c r="B7" s="17" t="s">
        <v>291</v>
      </c>
      <c r="C7" s="15"/>
      <c r="D7" s="15"/>
      <c r="E7" s="15"/>
      <c r="F7" s="15"/>
      <c r="G7" s="307">
        <f>Small_HCFs!F9*no_small_HCFs*Small_HCFs!F10+Medium_HCFs!E9*beds_per_medium_HCF*Medium_HCFs!E10*number_medium_HCFs+Large_HCFs!E9*(beds_per_large_A_HCF*number_large_A_HCFs+beds_per_large_B_HCF*number_large_B_HCFs)*Large_HCFs!E10+Clusters!G45*number_medium_clusters+Clusters!Q45*number_large_clusters</f>
        <v>74544.5</v>
      </c>
      <c r="H7" s="307">
        <f>G7/1000</f>
        <v>74.5445</v>
      </c>
      <c r="I7" s="310"/>
    </row>
    <row r="8" spans="2:9" ht="13.5" thickBot="1">
      <c r="B8" s="50" t="s">
        <v>292</v>
      </c>
      <c r="C8" s="51"/>
      <c r="D8" s="51"/>
      <c r="E8" s="51"/>
      <c r="F8" s="51"/>
      <c r="G8" s="311"/>
      <c r="H8" s="311"/>
      <c r="I8" s="312">
        <f>G7/weight_syringe</f>
        <v>7454450</v>
      </c>
    </row>
    <row r="9" spans="2:9" ht="13.5" thickBot="1">
      <c r="B9" s="6"/>
      <c r="C9" s="6"/>
      <c r="D9" s="6"/>
      <c r="E9" s="6"/>
      <c r="F9" s="6"/>
      <c r="G9" s="425"/>
      <c r="H9" s="425"/>
      <c r="I9" s="425"/>
    </row>
    <row r="10" spans="1:11" ht="15.75">
      <c r="A10" s="298"/>
      <c r="B10" s="531" t="s">
        <v>494</v>
      </c>
      <c r="C10" s="532"/>
      <c r="D10" s="533"/>
      <c r="E10" s="533"/>
      <c r="F10" s="533"/>
      <c r="G10" s="533"/>
      <c r="H10" s="538" t="s">
        <v>165</v>
      </c>
      <c r="I10" s="538" t="s">
        <v>165</v>
      </c>
      <c r="J10" s="539" t="s">
        <v>303</v>
      </c>
      <c r="K10" s="298"/>
    </row>
    <row r="11" spans="1:11" ht="16.5" thickBot="1">
      <c r="A11" s="298"/>
      <c r="B11" s="540" t="s">
        <v>493</v>
      </c>
      <c r="C11" s="534"/>
      <c r="D11" s="535"/>
      <c r="E11" s="535"/>
      <c r="F11" s="535"/>
      <c r="G11" s="535"/>
      <c r="H11" s="536"/>
      <c r="I11" s="536"/>
      <c r="J11" s="537"/>
      <c r="K11" s="298"/>
    </row>
    <row r="12" spans="2:11" ht="12.75">
      <c r="B12" s="5" t="s">
        <v>267</v>
      </c>
      <c r="C12" s="6"/>
      <c r="D12" s="6"/>
      <c r="E12" s="6"/>
      <c r="F12" s="6"/>
      <c r="G12" s="314"/>
      <c r="H12" s="317">
        <f>Small_HCFs!I31</f>
        <v>792984.59596113</v>
      </c>
      <c r="I12" s="317"/>
      <c r="J12" s="320"/>
      <c r="K12" s="298"/>
    </row>
    <row r="13" spans="2:11" ht="12.75">
      <c r="B13" s="5" t="s">
        <v>185</v>
      </c>
      <c r="C13" s="6"/>
      <c r="D13" s="6"/>
      <c r="E13" s="6"/>
      <c r="F13" s="6"/>
      <c r="G13" s="314"/>
      <c r="H13" s="313">
        <f>Small_HCFs!I45</f>
        <v>1951393.7995961127</v>
      </c>
      <c r="I13" s="313"/>
      <c r="J13" s="321"/>
      <c r="K13" s="298"/>
    </row>
    <row r="14" spans="2:11" ht="12.75">
      <c r="B14" s="5"/>
      <c r="C14" s="6" t="s">
        <v>98</v>
      </c>
      <c r="D14" s="6"/>
      <c r="E14" s="6"/>
      <c r="F14" s="6"/>
      <c r="G14" s="314"/>
      <c r="H14" s="313"/>
      <c r="I14" s="313">
        <f>SUM(H12:H13)</f>
        <v>2744378.3955572424</v>
      </c>
      <c r="J14" s="321">
        <f>I14*Small_HCFs!F9/Small_HCFs!F7</f>
        <v>54887.56791114485</v>
      </c>
      <c r="K14" s="298"/>
    </row>
    <row r="15" spans="2:11" ht="12.75">
      <c r="B15" s="5" t="s">
        <v>97</v>
      </c>
      <c r="C15" s="6"/>
      <c r="D15" s="6"/>
      <c r="E15" s="6"/>
      <c r="F15" s="6"/>
      <c r="G15" s="314"/>
      <c r="H15" s="313">
        <f>Medium_HCFs!I42</f>
        <v>535276.8225680495</v>
      </c>
      <c r="I15" s="313"/>
      <c r="J15" s="321"/>
      <c r="K15" s="298"/>
    </row>
    <row r="16" spans="2:11" ht="12.75">
      <c r="B16" s="5" t="s">
        <v>143</v>
      </c>
      <c r="C16" s="6"/>
      <c r="D16" s="6"/>
      <c r="E16" s="6"/>
      <c r="F16" s="6"/>
      <c r="G16" s="314"/>
      <c r="H16" s="313">
        <f>Medium_HCFs!I58</f>
        <v>2217935.213026036</v>
      </c>
      <c r="I16" s="313"/>
      <c r="J16" s="321"/>
      <c r="K16" s="298"/>
    </row>
    <row r="17" spans="2:11" ht="12.75">
      <c r="B17" s="5"/>
      <c r="C17" s="6" t="s">
        <v>99</v>
      </c>
      <c r="D17" s="6"/>
      <c r="E17" s="6"/>
      <c r="F17" s="6"/>
      <c r="G17" s="314"/>
      <c r="H17" s="313"/>
      <c r="I17" s="313">
        <f>SUM(H15:H16)</f>
        <v>2753212.0355940857</v>
      </c>
      <c r="J17" s="321">
        <f>I17*Medium_HCFs!E9/Medium_HCFs!E7</f>
        <v>55064.240711881714</v>
      </c>
      <c r="K17" s="298"/>
    </row>
    <row r="18" spans="2:11" ht="12.75">
      <c r="B18" s="5" t="s">
        <v>145</v>
      </c>
      <c r="C18" s="6"/>
      <c r="D18" s="6"/>
      <c r="E18" s="6"/>
      <c r="F18" s="6"/>
      <c r="G18" s="314"/>
      <c r="H18" s="313">
        <f>Large_HCFs!I49</f>
        <v>125261.34072057094</v>
      </c>
      <c r="I18" s="313"/>
      <c r="J18" s="321"/>
      <c r="K18" s="298"/>
    </row>
    <row r="19" spans="2:11" ht="12.75">
      <c r="B19" s="5" t="s">
        <v>147</v>
      </c>
      <c r="C19" s="6"/>
      <c r="D19" s="6"/>
      <c r="E19" s="6"/>
      <c r="F19" s="6"/>
      <c r="G19" s="314"/>
      <c r="H19" s="313">
        <f>Large_HCFs!I64</f>
        <v>1137295.194969493</v>
      </c>
      <c r="I19" s="313"/>
      <c r="J19" s="321"/>
      <c r="K19" s="298"/>
    </row>
    <row r="20" spans="2:11" ht="12.75">
      <c r="B20" s="5"/>
      <c r="C20" s="6" t="s">
        <v>100</v>
      </c>
      <c r="D20" s="6"/>
      <c r="E20" s="6"/>
      <c r="F20" s="6"/>
      <c r="G20" s="314"/>
      <c r="H20" s="313"/>
      <c r="I20" s="313">
        <f>SUM(H18:H19)</f>
        <v>1262556.5356900638</v>
      </c>
      <c r="J20" s="321">
        <f>I20*Large_HCFs!E9/Large_HCFs!E7</f>
        <v>25251.130713801278</v>
      </c>
      <c r="K20" s="298"/>
    </row>
    <row r="21" spans="2:11" ht="12.75">
      <c r="B21" s="5" t="s">
        <v>17</v>
      </c>
      <c r="C21" s="6"/>
      <c r="D21" s="6"/>
      <c r="E21" s="6"/>
      <c r="F21" s="6"/>
      <c r="G21" s="314"/>
      <c r="H21" s="313">
        <f>Large_HCFs!S49</f>
        <v>79081.71433433048</v>
      </c>
      <c r="I21" s="313"/>
      <c r="J21" s="321"/>
      <c r="K21" s="298"/>
    </row>
    <row r="22" spans="2:11" ht="12.75">
      <c r="B22" s="5" t="s">
        <v>19</v>
      </c>
      <c r="C22" s="6"/>
      <c r="D22" s="6"/>
      <c r="E22" s="6"/>
      <c r="F22" s="6"/>
      <c r="G22" s="314"/>
      <c r="H22" s="313">
        <f>Large_HCFs!S64</f>
        <v>1397488.0752795867</v>
      </c>
      <c r="I22" s="313"/>
      <c r="J22" s="321"/>
      <c r="K22" s="298"/>
    </row>
    <row r="23" spans="2:11" ht="12.75">
      <c r="B23" s="5"/>
      <c r="C23" s="6" t="s">
        <v>20</v>
      </c>
      <c r="D23" s="6"/>
      <c r="E23" s="6"/>
      <c r="F23" s="6"/>
      <c r="G23" s="314"/>
      <c r="H23" s="313"/>
      <c r="I23" s="313">
        <f>SUM(H21:H22)</f>
        <v>1476569.7896139172</v>
      </c>
      <c r="J23" s="321">
        <f>I23*Large_HCFs!E9/Large_HCFs!E7</f>
        <v>29531.395792278345</v>
      </c>
      <c r="K23" s="298"/>
    </row>
    <row r="24" spans="2:11" ht="12.75">
      <c r="B24" s="5" t="s">
        <v>118</v>
      </c>
      <c r="C24" s="6"/>
      <c r="D24" s="6"/>
      <c r="E24" s="6"/>
      <c r="F24" s="6"/>
      <c r="G24" s="314"/>
      <c r="H24" s="313">
        <f>Clusters!I63</f>
        <v>34046.20873792639</v>
      </c>
      <c r="I24" s="313"/>
      <c r="J24" s="321"/>
      <c r="K24" s="298"/>
    </row>
    <row r="25" spans="2:11" ht="12.75">
      <c r="B25" s="5" t="s">
        <v>57</v>
      </c>
      <c r="C25" s="6"/>
      <c r="D25" s="6"/>
      <c r="E25" s="6"/>
      <c r="F25" s="6"/>
      <c r="G25" s="314"/>
      <c r="H25" s="313">
        <f>Clusters!I76</f>
        <v>1037761.4901045617</v>
      </c>
      <c r="I25" s="313"/>
      <c r="J25" s="321"/>
      <c r="K25" s="298"/>
    </row>
    <row r="26" spans="2:11" ht="12.75">
      <c r="B26" s="5" t="s">
        <v>67</v>
      </c>
      <c r="C26" s="6"/>
      <c r="D26" s="6"/>
      <c r="E26" s="6"/>
      <c r="F26" s="6"/>
      <c r="G26" s="314"/>
      <c r="H26" s="313">
        <f>Clusters!I86</f>
        <v>79154.19043090861</v>
      </c>
      <c r="I26" s="313"/>
      <c r="J26" s="321"/>
      <c r="K26" s="298"/>
    </row>
    <row r="27" spans="2:11" ht="12.75">
      <c r="B27" s="5" t="s">
        <v>83</v>
      </c>
      <c r="C27" s="6"/>
      <c r="D27" s="6"/>
      <c r="E27" s="6"/>
      <c r="F27" s="6"/>
      <c r="G27" s="314"/>
      <c r="H27" s="313">
        <f>Clusters!I100</f>
        <v>145659.11604309088</v>
      </c>
      <c r="I27" s="313"/>
      <c r="J27" s="321"/>
      <c r="K27" s="298"/>
    </row>
    <row r="28" spans="2:12" ht="12.75">
      <c r="B28" s="5"/>
      <c r="C28" s="6" t="s">
        <v>283</v>
      </c>
      <c r="D28" s="6"/>
      <c r="E28" s="6"/>
      <c r="F28" s="6"/>
      <c r="G28" s="314"/>
      <c r="H28" s="313"/>
      <c r="I28" s="313">
        <f>SUM(H24:H27)</f>
        <v>1296621.0053164875</v>
      </c>
      <c r="J28" s="321">
        <f>IF(AND(number_small_HCFs_medium_cluster=0,total_beds_medium_HCFs_medium_cluster=0,total_beds_large_HCFs_medium_cluster=0),0,I28*((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25932.42010632975</v>
      </c>
      <c r="K28" s="319"/>
      <c r="L28" s="299"/>
    </row>
    <row r="29" spans="2:11" ht="12.75">
      <c r="B29" s="5" t="s">
        <v>92</v>
      </c>
      <c r="C29" s="6"/>
      <c r="D29" s="6"/>
      <c r="E29" s="6"/>
      <c r="F29" s="6"/>
      <c r="G29" s="314"/>
      <c r="H29" s="313">
        <f>Clusters!S63</f>
        <v>41895.25746670362</v>
      </c>
      <c r="I29" s="313"/>
      <c r="J29" s="321"/>
      <c r="K29" s="298"/>
    </row>
    <row r="30" spans="2:11" ht="12.75">
      <c r="B30" s="5" t="s">
        <v>41</v>
      </c>
      <c r="C30" s="6"/>
      <c r="D30" s="6"/>
      <c r="E30" s="6"/>
      <c r="F30" s="6"/>
      <c r="G30" s="314"/>
      <c r="H30" s="313">
        <f>Clusters!S76</f>
        <v>1289368.8026697473</v>
      </c>
      <c r="I30" s="313"/>
      <c r="J30" s="321"/>
      <c r="K30" s="298"/>
    </row>
    <row r="31" spans="2:11" ht="12.75">
      <c r="B31" s="5" t="s">
        <v>36</v>
      </c>
      <c r="C31" s="6"/>
      <c r="D31" s="6"/>
      <c r="E31" s="6"/>
      <c r="F31" s="6"/>
      <c r="G31" s="314"/>
      <c r="H31" s="313">
        <f>Clusters!S86</f>
        <v>68680.66753517507</v>
      </c>
      <c r="I31" s="313"/>
      <c r="J31" s="321"/>
      <c r="K31" s="298"/>
    </row>
    <row r="32" spans="2:11" ht="12.75">
      <c r="B32" s="5" t="s">
        <v>39</v>
      </c>
      <c r="C32" s="6"/>
      <c r="D32" s="6"/>
      <c r="E32" s="6"/>
      <c r="F32" s="6"/>
      <c r="G32" s="314"/>
      <c r="H32" s="313">
        <f>Clusters!S100</f>
        <v>145225.4122535175</v>
      </c>
      <c r="I32" s="313"/>
      <c r="J32" s="321"/>
      <c r="K32" s="298"/>
    </row>
    <row r="33" spans="2:12" ht="12.75">
      <c r="B33" s="5"/>
      <c r="C33" s="6" t="s">
        <v>284</v>
      </c>
      <c r="D33" s="6"/>
      <c r="E33" s="6"/>
      <c r="F33" s="6"/>
      <c r="G33" s="314"/>
      <c r="H33" s="313"/>
      <c r="I33" s="313">
        <f>SUM(H29:H32)</f>
        <v>1545170.1399251434</v>
      </c>
      <c r="J33" s="321">
        <f>IF(AND(number_small_HCFs_large_cluster=0,total_beds_medium_HCFs_large_cluster=0,total_beds_large_HCFs_large_cluster=0),0,I33*((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30903.402798502866</v>
      </c>
      <c r="K33" s="319"/>
      <c r="L33" s="304"/>
    </row>
    <row r="34" spans="2:11" ht="12.75">
      <c r="B34" s="5" t="s">
        <v>177</v>
      </c>
      <c r="C34" s="6"/>
      <c r="D34" s="6"/>
      <c r="E34" s="6"/>
      <c r="F34" s="6"/>
      <c r="G34" s="314"/>
      <c r="H34" s="313">
        <f>National!I30</f>
        <v>5102.687351261968</v>
      </c>
      <c r="I34" s="313"/>
      <c r="J34" s="321"/>
      <c r="K34" s="298"/>
    </row>
    <row r="35" spans="2:11" ht="12.75">
      <c r="B35" s="5" t="s">
        <v>95</v>
      </c>
      <c r="C35" s="6"/>
      <c r="D35" s="6"/>
      <c r="E35" s="6"/>
      <c r="F35" s="6"/>
      <c r="G35" s="314"/>
      <c r="H35" s="313">
        <f>National!I39</f>
        <v>95190.2687351262</v>
      </c>
      <c r="I35" s="313"/>
      <c r="J35" s="321"/>
      <c r="K35" s="298"/>
    </row>
    <row r="36" spans="2:11" ht="12.75">
      <c r="B36" s="70"/>
      <c r="C36" s="9" t="s">
        <v>101</v>
      </c>
      <c r="D36" s="9"/>
      <c r="E36" s="9"/>
      <c r="F36" s="9"/>
      <c r="G36" s="10"/>
      <c r="H36" s="313"/>
      <c r="I36" s="313">
        <f>SUM(H34:H35)</f>
        <v>100292.95608638816</v>
      </c>
      <c r="J36" s="321">
        <f>I36*Large_HCFs!E9/Large_HCFs!E7</f>
        <v>2005.8591217277633</v>
      </c>
      <c r="K36" s="298"/>
    </row>
    <row r="37" spans="2:11" ht="13.5" thickBot="1">
      <c r="B37" s="73" t="s">
        <v>286</v>
      </c>
      <c r="C37" s="74"/>
      <c r="D37" s="74"/>
      <c r="E37" s="74"/>
      <c r="F37" s="74"/>
      <c r="G37" s="74"/>
      <c r="H37" s="322"/>
      <c r="I37" s="408">
        <f>SUM(I14:I36)</f>
        <v>11178800.857783329</v>
      </c>
      <c r="J37" s="329">
        <f>SUM(J14:J36)</f>
        <v>223576.01715566654</v>
      </c>
      <c r="K37" s="298"/>
    </row>
    <row r="38" spans="2:11" ht="7.5" customHeight="1" thickBot="1">
      <c r="B38" s="323"/>
      <c r="C38" s="4"/>
      <c r="D38" s="4"/>
      <c r="E38" s="4"/>
      <c r="F38" s="4"/>
      <c r="G38" s="4"/>
      <c r="H38" s="324"/>
      <c r="I38" s="324"/>
      <c r="J38" s="16"/>
      <c r="K38" s="6"/>
    </row>
    <row r="39" spans="2:11" ht="14.25" customHeight="1" thickBot="1">
      <c r="B39" s="305" t="s">
        <v>32</v>
      </c>
      <c r="C39" s="326"/>
      <c r="D39" s="326"/>
      <c r="E39" s="326"/>
      <c r="F39" s="326"/>
      <c r="G39" s="326"/>
      <c r="H39" s="327"/>
      <c r="I39" s="327"/>
      <c r="J39" s="318"/>
      <c r="K39" s="6"/>
    </row>
    <row r="40" spans="2:11" ht="12.75">
      <c r="B40" s="5" t="s">
        <v>313</v>
      </c>
      <c r="C40" s="6"/>
      <c r="D40" s="6"/>
      <c r="E40" s="6"/>
      <c r="F40" s="6"/>
      <c r="G40" s="6"/>
      <c r="H40" s="315"/>
      <c r="I40" s="325">
        <f>I37/total_beds_national</f>
        <v>593.0398333041554</v>
      </c>
      <c r="J40" s="7" t="s">
        <v>308</v>
      </c>
      <c r="K40" s="6"/>
    </row>
    <row r="41" spans="2:10" ht="12.75">
      <c r="B41" s="5" t="s">
        <v>314</v>
      </c>
      <c r="C41" s="6"/>
      <c r="D41" s="6"/>
      <c r="E41" s="6"/>
      <c r="F41" s="6"/>
      <c r="G41" s="6"/>
      <c r="H41" s="315"/>
      <c r="I41" s="325">
        <f>I37/(total_beds_national+no_small_HCFs)</f>
        <v>563.1637711729637</v>
      </c>
      <c r="J41" s="7" t="s">
        <v>312</v>
      </c>
    </row>
    <row r="42" spans="2:10" ht="12.75">
      <c r="B42" s="5" t="s">
        <v>315</v>
      </c>
      <c r="C42" s="6"/>
      <c r="D42" s="6"/>
      <c r="E42" s="6"/>
      <c r="F42" s="6"/>
      <c r="G42" s="6"/>
      <c r="H42" s="315"/>
      <c r="I42" s="325">
        <f>I37/population</f>
        <v>0.5589400428891664</v>
      </c>
      <c r="J42" s="7" t="s">
        <v>309</v>
      </c>
    </row>
    <row r="43" spans="2:10" ht="12.75">
      <c r="B43" s="5" t="s">
        <v>288</v>
      </c>
      <c r="C43" s="6"/>
      <c r="D43" s="6"/>
      <c r="E43" s="6"/>
      <c r="F43" s="6"/>
      <c r="G43" s="6"/>
      <c r="H43" s="315"/>
      <c r="I43" s="442">
        <f>I37/budget*100</f>
        <v>1.1178800857783329</v>
      </c>
      <c r="J43" s="7" t="s">
        <v>307</v>
      </c>
    </row>
    <row r="44" spans="2:10" ht="12.75">
      <c r="B44" s="5" t="s">
        <v>376</v>
      </c>
      <c r="C44" s="6"/>
      <c r="D44" s="6"/>
      <c r="E44" s="6"/>
      <c r="F44" s="6"/>
      <c r="G44" s="6"/>
      <c r="H44" s="315"/>
      <c r="I44" s="442">
        <f>I37/gdp*100</f>
        <v>1.1178800857783329</v>
      </c>
      <c r="J44" s="7" t="s">
        <v>307</v>
      </c>
    </row>
    <row r="45" spans="2:10" ht="12.75">
      <c r="B45" s="5" t="s">
        <v>316</v>
      </c>
      <c r="C45" s="6"/>
      <c r="D45" s="6"/>
      <c r="E45" s="6"/>
      <c r="F45" s="6"/>
      <c r="G45" s="6"/>
      <c r="H45" s="315"/>
      <c r="I45" s="325">
        <f>I37/G5</f>
        <v>2.999228878799463</v>
      </c>
      <c r="J45" s="7" t="s">
        <v>310</v>
      </c>
    </row>
    <row r="46" spans="2:10" ht="12.75">
      <c r="B46" s="5" t="s">
        <v>317</v>
      </c>
      <c r="C46" s="6"/>
      <c r="D46" s="6"/>
      <c r="E46" s="6"/>
      <c r="F46" s="6"/>
      <c r="G46" s="6"/>
      <c r="H46" s="315"/>
      <c r="I46" s="325">
        <f>I37/G6</f>
        <v>0.39785689208564307</v>
      </c>
      <c r="J46" s="7" t="s">
        <v>310</v>
      </c>
    </row>
    <row r="47" spans="2:10" ht="12.75">
      <c r="B47" s="5" t="s">
        <v>318</v>
      </c>
      <c r="C47" s="6"/>
      <c r="D47" s="6"/>
      <c r="E47" s="6"/>
      <c r="F47" s="6"/>
      <c r="G47" s="6"/>
      <c r="H47" s="315"/>
      <c r="I47" s="325">
        <f>J37/G7</f>
        <v>2.9992288787994625</v>
      </c>
      <c r="J47" s="7" t="s">
        <v>310</v>
      </c>
    </row>
    <row r="48" spans="2:10" ht="13.5" thickBot="1">
      <c r="B48" s="300" t="s">
        <v>319</v>
      </c>
      <c r="C48" s="316"/>
      <c r="D48" s="316"/>
      <c r="E48" s="316"/>
      <c r="F48" s="316"/>
      <c r="G48" s="316"/>
      <c r="H48" s="316"/>
      <c r="I48" s="328">
        <f>J37/I8</f>
        <v>0.029992288787994627</v>
      </c>
      <c r="J48" s="301" t="s">
        <v>311</v>
      </c>
    </row>
    <row r="49" spans="2:10" ht="13.5" thickBot="1">
      <c r="B49" s="6"/>
      <c r="C49" s="6"/>
      <c r="D49" s="6"/>
      <c r="E49" s="6"/>
      <c r="F49" s="6"/>
      <c r="G49" s="6"/>
      <c r="H49" s="6"/>
      <c r="I49" s="525"/>
      <c r="J49" s="6"/>
    </row>
    <row r="50" spans="2:10" ht="15">
      <c r="B50" s="6"/>
      <c r="C50" s="526" t="s">
        <v>490</v>
      </c>
      <c r="D50" s="527"/>
      <c r="E50" s="527"/>
      <c r="F50" s="527"/>
      <c r="G50" s="527"/>
      <c r="H50" s="527"/>
      <c r="I50" s="527"/>
      <c r="J50" s="528" t="s">
        <v>155</v>
      </c>
    </row>
    <row r="51" spans="2:10" ht="13.5" thickBot="1">
      <c r="B51" s="6"/>
      <c r="C51" s="529" t="s">
        <v>491</v>
      </c>
      <c r="D51" s="509"/>
      <c r="E51" s="509"/>
      <c r="F51" s="509"/>
      <c r="G51" s="509"/>
      <c r="H51" s="509"/>
      <c r="I51" s="509"/>
      <c r="J51" s="530">
        <f>Large_HCFs!I68+Large_HCFs!S68+Clusters!I104+Clusters!S104</f>
        <v>21889.800000000003</v>
      </c>
    </row>
    <row r="52" ht="13.5" thickBot="1"/>
    <row r="53" spans="2:10" ht="15.75">
      <c r="B53" s="531" t="s">
        <v>495</v>
      </c>
      <c r="C53" s="532"/>
      <c r="D53" s="533"/>
      <c r="E53" s="533"/>
      <c r="F53" s="533"/>
      <c r="G53" s="533"/>
      <c r="H53" s="538" t="s">
        <v>165</v>
      </c>
      <c r="I53" s="538" t="s">
        <v>165</v>
      </c>
      <c r="J53" s="539" t="s">
        <v>303</v>
      </c>
    </row>
    <row r="54" spans="2:10" ht="16.5" thickBot="1">
      <c r="B54" s="540" t="s">
        <v>496</v>
      </c>
      <c r="C54" s="534"/>
      <c r="D54" s="535"/>
      <c r="E54" s="535"/>
      <c r="F54" s="535"/>
      <c r="G54" s="535"/>
      <c r="H54" s="536"/>
      <c r="I54" s="536"/>
      <c r="J54" s="537"/>
    </row>
    <row r="55" spans="2:10" ht="12.75">
      <c r="B55" s="5" t="s">
        <v>408</v>
      </c>
      <c r="C55" s="6"/>
      <c r="D55" s="6"/>
      <c r="E55" s="6"/>
      <c r="F55" s="6"/>
      <c r="G55" s="314"/>
      <c r="H55" s="317">
        <f>Small_HCFs!I31</f>
        <v>792984.59596113</v>
      </c>
      <c r="I55" s="317"/>
      <c r="J55" s="320"/>
    </row>
    <row r="56" spans="2:10" ht="12.75">
      <c r="B56" s="5" t="s">
        <v>409</v>
      </c>
      <c r="C56" s="6"/>
      <c r="D56" s="6"/>
      <c r="E56" s="6"/>
      <c r="F56" s="6"/>
      <c r="G56" s="314"/>
      <c r="H56" s="313">
        <f>Small_HCFs!I45</f>
        <v>1951393.7995961127</v>
      </c>
      <c r="I56" s="313"/>
      <c r="J56" s="321"/>
    </row>
    <row r="57" spans="2:10" ht="12.75">
      <c r="B57" s="5"/>
      <c r="C57" s="6" t="s">
        <v>410</v>
      </c>
      <c r="D57" s="6"/>
      <c r="E57" s="6"/>
      <c r="F57" s="6"/>
      <c r="G57" s="314"/>
      <c r="H57" s="313"/>
      <c r="I57" s="313">
        <f>SUM(H55:H56)</f>
        <v>2744378.3955572424</v>
      </c>
      <c r="J57" s="321">
        <f>I57*Small_HCFs!F9/Small_HCFs!F7</f>
        <v>54887.56791114485</v>
      </c>
    </row>
    <row r="58" spans="2:10" ht="12.75">
      <c r="B58" s="5" t="s">
        <v>97</v>
      </c>
      <c r="C58" s="6"/>
      <c r="D58" s="6"/>
      <c r="E58" s="6"/>
      <c r="F58" s="6"/>
      <c r="G58" s="314"/>
      <c r="H58" s="313">
        <f>Medium_HCFs!I42</f>
        <v>535276.8225680495</v>
      </c>
      <c r="I58" s="313"/>
      <c r="J58" s="321"/>
    </row>
    <row r="59" spans="2:10" ht="12.75">
      <c r="B59" s="5" t="s">
        <v>143</v>
      </c>
      <c r="C59" s="6"/>
      <c r="D59" s="6"/>
      <c r="E59" s="6"/>
      <c r="F59" s="6"/>
      <c r="G59" s="314"/>
      <c r="H59" s="313">
        <f>Medium_HCFs!I58</f>
        <v>2217935.213026036</v>
      </c>
      <c r="I59" s="313"/>
      <c r="J59" s="321"/>
    </row>
    <row r="60" spans="2:10" ht="12.75">
      <c r="B60" s="5"/>
      <c r="C60" s="6" t="s">
        <v>99</v>
      </c>
      <c r="D60" s="6"/>
      <c r="E60" s="6"/>
      <c r="F60" s="6"/>
      <c r="G60" s="314"/>
      <c r="H60" s="313"/>
      <c r="I60" s="313">
        <f>SUM(H58:H59)</f>
        <v>2753212.0355940857</v>
      </c>
      <c r="J60" s="321">
        <f>I60*Medium_HCFs!E9/Medium_HCFs!E7</f>
        <v>55064.240711881714</v>
      </c>
    </row>
    <row r="61" spans="2:10" ht="12.75">
      <c r="B61" s="5" t="s">
        <v>145</v>
      </c>
      <c r="C61" s="6"/>
      <c r="D61" s="6"/>
      <c r="E61" s="6"/>
      <c r="F61" s="6"/>
      <c r="G61" s="314"/>
      <c r="H61" s="313">
        <f>Large_HCFs!I83</f>
        <v>307275.21801327344</v>
      </c>
      <c r="I61" s="313"/>
      <c r="J61" s="321"/>
    </row>
    <row r="62" spans="2:10" ht="12.75">
      <c r="B62" s="5" t="s">
        <v>147</v>
      </c>
      <c r="C62" s="6"/>
      <c r="D62" s="6"/>
      <c r="E62" s="6"/>
      <c r="F62" s="6"/>
      <c r="G62" s="314"/>
      <c r="H62" s="313">
        <f>Large_HCFs!I98</f>
        <v>2038861.7285320966</v>
      </c>
      <c r="I62" s="313"/>
      <c r="J62" s="321"/>
    </row>
    <row r="63" spans="2:10" ht="12.75">
      <c r="B63" s="5"/>
      <c r="C63" s="6" t="s">
        <v>100</v>
      </c>
      <c r="D63" s="6"/>
      <c r="E63" s="6"/>
      <c r="F63" s="6"/>
      <c r="G63" s="314"/>
      <c r="H63" s="313"/>
      <c r="I63" s="313">
        <f>SUM(H61:H62)</f>
        <v>2346136.94654537</v>
      </c>
      <c r="J63" s="321">
        <f>I63*Large_HCFs!E9/Large_HCFs!E7</f>
        <v>46922.7389309074</v>
      </c>
    </row>
    <row r="64" spans="2:10" ht="12.75">
      <c r="B64" s="5" t="s">
        <v>17</v>
      </c>
      <c r="C64" s="6"/>
      <c r="D64" s="6"/>
      <c r="E64" s="6"/>
      <c r="F64" s="6"/>
      <c r="G64" s="314"/>
      <c r="H64" s="313">
        <f>Large_HCFs!S83</f>
        <v>227061.82412080438</v>
      </c>
      <c r="I64" s="313"/>
      <c r="J64" s="321"/>
    </row>
    <row r="65" spans="2:10" ht="12.75">
      <c r="B65" s="5" t="s">
        <v>19</v>
      </c>
      <c r="C65" s="6"/>
      <c r="D65" s="6"/>
      <c r="E65" s="6"/>
      <c r="F65" s="6"/>
      <c r="G65" s="314"/>
      <c r="H65" s="313">
        <f>Large_HCFs!S98</f>
        <v>2541215.898758234</v>
      </c>
      <c r="I65" s="313"/>
      <c r="J65" s="321"/>
    </row>
    <row r="66" spans="2:10" ht="12.75">
      <c r="B66" s="5"/>
      <c r="C66" s="6" t="s">
        <v>20</v>
      </c>
      <c r="D66" s="6"/>
      <c r="E66" s="6"/>
      <c r="F66" s="6"/>
      <c r="G66" s="314"/>
      <c r="H66" s="313"/>
      <c r="I66" s="313">
        <f>SUM(H64:H65)</f>
        <v>2768277.722879038</v>
      </c>
      <c r="J66" s="321">
        <f>I66*Large_HCFs!E9/Large_HCFs!E7</f>
        <v>55365.554457580765</v>
      </c>
    </row>
    <row r="67" spans="2:10" ht="12.75">
      <c r="B67" s="5" t="s">
        <v>118</v>
      </c>
      <c r="C67" s="6"/>
      <c r="D67" s="6"/>
      <c r="E67" s="6"/>
      <c r="F67" s="6"/>
      <c r="G67" s="314"/>
      <c r="H67" s="313">
        <f>Clusters!I120</f>
        <v>26693.07425516777</v>
      </c>
      <c r="I67" s="313"/>
      <c r="J67" s="321"/>
    </row>
    <row r="68" spans="2:10" ht="12.75">
      <c r="B68" s="5" t="s">
        <v>57</v>
      </c>
      <c r="C68" s="6"/>
      <c r="D68" s="6"/>
      <c r="E68" s="6"/>
      <c r="F68" s="6"/>
      <c r="G68" s="314"/>
      <c r="H68" s="313">
        <f>Clusters!I134</f>
        <v>1086484.676656286</v>
      </c>
      <c r="I68" s="313"/>
      <c r="J68" s="321"/>
    </row>
    <row r="69" spans="2:10" ht="12.75">
      <c r="B69" s="5" t="s">
        <v>67</v>
      </c>
      <c r="C69" s="6"/>
      <c r="D69" s="6"/>
      <c r="E69" s="6"/>
      <c r="F69" s="6"/>
      <c r="G69" s="314"/>
      <c r="H69" s="313">
        <f>Clusters!I144</f>
        <v>148076.6067084714</v>
      </c>
      <c r="I69" s="313"/>
      <c r="J69" s="321"/>
    </row>
    <row r="70" spans="2:10" ht="12.75">
      <c r="B70" s="5" t="s">
        <v>83</v>
      </c>
      <c r="C70" s="6"/>
      <c r="D70" s="6"/>
      <c r="E70" s="6"/>
      <c r="F70" s="6"/>
      <c r="G70" s="314"/>
      <c r="H70" s="313">
        <f>Clusters!I157</f>
        <v>611312.9856708471</v>
      </c>
      <c r="I70" s="313"/>
      <c r="J70" s="321"/>
    </row>
    <row r="71" spans="2:11" ht="12.75">
      <c r="B71" s="5"/>
      <c r="C71" s="6" t="s">
        <v>283</v>
      </c>
      <c r="D71" s="6"/>
      <c r="E71" s="6"/>
      <c r="F71" s="6"/>
      <c r="G71" s="314"/>
      <c r="H71" s="313"/>
      <c r="I71" s="313">
        <f>SUM(H67:H70)</f>
        <v>1872567.3432907723</v>
      </c>
      <c r="J71" s="321">
        <f>IF(AND(number_small_HCFs_medium_cluster=0,total_beds_medium_HCFs_medium_cluster=0,total_beds_large_HCFs_medium_cluster=0),0,I71*((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37451.346865815445</v>
      </c>
      <c r="K71" s="542"/>
    </row>
    <row r="72" spans="2:10" ht="12.75">
      <c r="B72" s="5" t="s">
        <v>92</v>
      </c>
      <c r="C72" s="6"/>
      <c r="D72" s="6"/>
      <c r="E72" s="6"/>
      <c r="F72" s="6"/>
      <c r="G72" s="314"/>
      <c r="H72" s="313">
        <f>Clusters!S120</f>
        <v>32712.985052910513</v>
      </c>
      <c r="I72" s="313"/>
      <c r="J72" s="321"/>
    </row>
    <row r="73" spans="2:10" ht="12.75">
      <c r="B73" s="5" t="s">
        <v>41</v>
      </c>
      <c r="C73" s="6"/>
      <c r="D73" s="6"/>
      <c r="E73" s="6"/>
      <c r="F73" s="6"/>
      <c r="G73" s="314"/>
      <c r="H73" s="313">
        <f>Clusters!S134</f>
        <v>1350684.075428368</v>
      </c>
      <c r="I73" s="313"/>
      <c r="J73" s="321"/>
    </row>
    <row r="74" spans="2:10" ht="12.75">
      <c r="B74" s="5" t="s">
        <v>36</v>
      </c>
      <c r="C74" s="6"/>
      <c r="D74" s="6"/>
      <c r="E74" s="6"/>
      <c r="F74" s="6"/>
      <c r="G74" s="314"/>
      <c r="H74" s="313">
        <f>Clusters!S144</f>
        <v>186481.32067232172</v>
      </c>
      <c r="I74" s="313"/>
      <c r="J74" s="321"/>
    </row>
    <row r="75" spans="2:10" ht="12.75">
      <c r="B75" s="5" t="s">
        <v>39</v>
      </c>
      <c r="C75" s="6"/>
      <c r="D75" s="6"/>
      <c r="E75" s="6"/>
      <c r="F75" s="6"/>
      <c r="G75" s="314"/>
      <c r="H75" s="313">
        <f>Clusters!S157</f>
        <v>708728.2070672321</v>
      </c>
      <c r="I75" s="313"/>
      <c r="J75" s="321"/>
    </row>
    <row r="76" spans="2:10" ht="12.75">
      <c r="B76" s="5"/>
      <c r="C76" s="6" t="s">
        <v>284</v>
      </c>
      <c r="D76" s="6"/>
      <c r="E76" s="6"/>
      <c r="F76" s="6"/>
      <c r="G76" s="314"/>
      <c r="H76" s="313"/>
      <c r="I76" s="313">
        <f>SUM(H72:H75)</f>
        <v>2278606.5882208324</v>
      </c>
      <c r="J76" s="321">
        <f>IF(AND(number_small_HCFs_large_cluster=0,total_beds_medium_HCFs_large_cluster=0,total_beds_large_HCFs_large_cluster=0),0,I76*((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45572.13176441664</v>
      </c>
    </row>
    <row r="77" spans="2:10" ht="12.75">
      <c r="B77" s="5" t="s">
        <v>177</v>
      </c>
      <c r="C77" s="6"/>
      <c r="D77" s="6"/>
      <c r="E77" s="6"/>
      <c r="F77" s="6"/>
      <c r="G77" s="314"/>
      <c r="H77" s="313">
        <f>National!I30</f>
        <v>5102.687351261968</v>
      </c>
      <c r="I77" s="313"/>
      <c r="J77" s="321"/>
    </row>
    <row r="78" spans="2:10" ht="12.75">
      <c r="B78" s="5" t="s">
        <v>95</v>
      </c>
      <c r="C78" s="6"/>
      <c r="D78" s="6"/>
      <c r="E78" s="6"/>
      <c r="F78" s="6"/>
      <c r="G78" s="314"/>
      <c r="H78" s="313">
        <f>National!I39</f>
        <v>95190.2687351262</v>
      </c>
      <c r="I78" s="313"/>
      <c r="J78" s="321"/>
    </row>
    <row r="79" spans="2:10" ht="12.75">
      <c r="B79" s="70"/>
      <c r="C79" s="9" t="s">
        <v>101</v>
      </c>
      <c r="D79" s="9"/>
      <c r="E79" s="9"/>
      <c r="F79" s="9"/>
      <c r="G79" s="10"/>
      <c r="H79" s="313"/>
      <c r="I79" s="313">
        <f>SUM(H77:H78)</f>
        <v>100292.95608638816</v>
      </c>
      <c r="J79" s="321">
        <f>I79*Large_HCFs!E9/Large_HCFs!E7</f>
        <v>2005.8591217277633</v>
      </c>
    </row>
    <row r="80" spans="2:10" ht="13.5" thickBot="1">
      <c r="B80" s="73" t="s">
        <v>320</v>
      </c>
      <c r="C80" s="74"/>
      <c r="D80" s="74"/>
      <c r="E80" s="74"/>
      <c r="F80" s="74"/>
      <c r="G80" s="74"/>
      <c r="H80" s="322"/>
      <c r="I80" s="408">
        <f>SUM(I57:I79)</f>
        <v>14863471.98817373</v>
      </c>
      <c r="J80" s="329">
        <f>SUM(J57:J79)</f>
        <v>297269.43976347457</v>
      </c>
    </row>
    <row r="81" spans="2:10" ht="6.75" customHeight="1" thickBot="1">
      <c r="B81" s="323"/>
      <c r="C81" s="4"/>
      <c r="D81" s="4"/>
      <c r="E81" s="4"/>
      <c r="F81" s="4"/>
      <c r="G81" s="4"/>
      <c r="H81" s="324"/>
      <c r="I81" s="324"/>
      <c r="J81" s="16"/>
    </row>
    <row r="82" spans="2:10" ht="16.5" thickBot="1">
      <c r="B82" s="305" t="s">
        <v>33</v>
      </c>
      <c r="C82" s="326"/>
      <c r="D82" s="326"/>
      <c r="E82" s="326"/>
      <c r="F82" s="326"/>
      <c r="G82" s="326"/>
      <c r="H82" s="327"/>
      <c r="I82" s="327"/>
      <c r="J82" s="318"/>
    </row>
    <row r="83" spans="2:10" ht="12.75">
      <c r="B83" s="5" t="s">
        <v>313</v>
      </c>
      <c r="C83" s="6"/>
      <c r="D83" s="6"/>
      <c r="E83" s="6"/>
      <c r="F83" s="6"/>
      <c r="G83" s="6"/>
      <c r="H83" s="315"/>
      <c r="I83" s="325">
        <f>I80/total_beds_national</f>
        <v>788.5131028208875</v>
      </c>
      <c r="J83" s="7" t="s">
        <v>308</v>
      </c>
    </row>
    <row r="84" spans="2:10" ht="12.75">
      <c r="B84" s="5" t="s">
        <v>314</v>
      </c>
      <c r="C84" s="6"/>
      <c r="D84" s="6"/>
      <c r="E84" s="6"/>
      <c r="F84" s="6"/>
      <c r="G84" s="6"/>
      <c r="H84" s="315"/>
      <c r="I84" s="325">
        <f>I80/(total_beds_national+no_small_HCFs)</f>
        <v>748.7895208147975</v>
      </c>
      <c r="J84" s="7" t="s">
        <v>312</v>
      </c>
    </row>
    <row r="85" spans="2:10" ht="12.75">
      <c r="B85" s="5" t="s">
        <v>315</v>
      </c>
      <c r="C85" s="6"/>
      <c r="D85" s="6"/>
      <c r="E85" s="6"/>
      <c r="F85" s="6"/>
      <c r="G85" s="6"/>
      <c r="H85" s="315"/>
      <c r="I85" s="325">
        <f>I80/population</f>
        <v>0.7431735994086865</v>
      </c>
      <c r="J85" s="7" t="s">
        <v>309</v>
      </c>
    </row>
    <row r="86" spans="2:10" ht="12.75">
      <c r="B86" s="5" t="s">
        <v>288</v>
      </c>
      <c r="C86" s="6"/>
      <c r="D86" s="6"/>
      <c r="E86" s="6"/>
      <c r="F86" s="6"/>
      <c r="G86" s="6"/>
      <c r="H86" s="315"/>
      <c r="I86" s="441">
        <f>I80/budget*100</f>
        <v>1.486347198817373</v>
      </c>
      <c r="J86" s="7" t="s">
        <v>307</v>
      </c>
    </row>
    <row r="87" spans="2:10" ht="12.75">
      <c r="B87" s="5" t="s">
        <v>376</v>
      </c>
      <c r="C87" s="6"/>
      <c r="D87" s="6"/>
      <c r="E87" s="6"/>
      <c r="F87" s="6"/>
      <c r="G87" s="6"/>
      <c r="H87" s="315"/>
      <c r="I87" s="441">
        <f>I80/gdp*100</f>
        <v>1.486347198817373</v>
      </c>
      <c r="J87" s="7" t="s">
        <v>307</v>
      </c>
    </row>
    <row r="88" spans="2:10" ht="12.75">
      <c r="B88" s="5" t="s">
        <v>316</v>
      </c>
      <c r="C88" s="6"/>
      <c r="D88" s="6"/>
      <c r="E88" s="6"/>
      <c r="F88" s="6"/>
      <c r="G88" s="6"/>
      <c r="H88" s="315"/>
      <c r="I88" s="325">
        <f>I80/G5</f>
        <v>3.9878118407592056</v>
      </c>
      <c r="J88" s="7" t="s">
        <v>310</v>
      </c>
    </row>
    <row r="89" spans="2:10" ht="12.75">
      <c r="B89" s="5" t="s">
        <v>317</v>
      </c>
      <c r="C89" s="6"/>
      <c r="D89" s="6"/>
      <c r="E89" s="6"/>
      <c r="F89" s="6"/>
      <c r="G89" s="6"/>
      <c r="H89" s="315"/>
      <c r="I89" s="325">
        <f>I80/G6</f>
        <v>0.5289954482639763</v>
      </c>
      <c r="J89" s="7" t="s">
        <v>310</v>
      </c>
    </row>
    <row r="90" spans="2:10" ht="12.75">
      <c r="B90" s="5" t="s">
        <v>318</v>
      </c>
      <c r="C90" s="6"/>
      <c r="D90" s="6"/>
      <c r="E90" s="6"/>
      <c r="F90" s="6"/>
      <c r="G90" s="6"/>
      <c r="H90" s="315"/>
      <c r="I90" s="325">
        <f>J80/G7</f>
        <v>3.987811840759205</v>
      </c>
      <c r="J90" s="7" t="s">
        <v>310</v>
      </c>
    </row>
    <row r="91" spans="2:10" ht="13.5" thickBot="1">
      <c r="B91" s="300" t="s">
        <v>319</v>
      </c>
      <c r="C91" s="316"/>
      <c r="D91" s="316"/>
      <c r="E91" s="316"/>
      <c r="F91" s="316"/>
      <c r="G91" s="316"/>
      <c r="H91" s="316"/>
      <c r="I91" s="328">
        <f>J80/I8</f>
        <v>0.039878118407592054</v>
      </c>
      <c r="J91" s="301" t="s">
        <v>311</v>
      </c>
    </row>
    <row r="92" ht="13.5" thickBot="1"/>
    <row r="93" spans="2:10" ht="15.75">
      <c r="B93" s="531" t="s">
        <v>497</v>
      </c>
      <c r="C93" s="532"/>
      <c r="D93" s="533"/>
      <c r="E93" s="533"/>
      <c r="F93" s="533"/>
      <c r="G93" s="533"/>
      <c r="H93" s="538" t="s">
        <v>165</v>
      </c>
      <c r="I93" s="538" t="s">
        <v>165</v>
      </c>
      <c r="J93" s="539" t="s">
        <v>303</v>
      </c>
    </row>
    <row r="94" spans="2:10" ht="16.5" thickBot="1">
      <c r="B94" s="540" t="s">
        <v>492</v>
      </c>
      <c r="C94" s="534"/>
      <c r="D94" s="535"/>
      <c r="E94" s="535"/>
      <c r="F94" s="535"/>
      <c r="G94" s="535"/>
      <c r="H94" s="536"/>
      <c r="I94" s="536"/>
      <c r="J94" s="537"/>
    </row>
    <row r="95" spans="2:10" ht="12.75">
      <c r="B95" s="5" t="s">
        <v>267</v>
      </c>
      <c r="C95" s="6"/>
      <c r="D95" s="6"/>
      <c r="E95" s="6"/>
      <c r="F95" s="6"/>
      <c r="G95" s="314"/>
      <c r="H95" s="317">
        <f>Small_HCFs!I31</f>
        <v>792984.59596113</v>
      </c>
      <c r="I95" s="317"/>
      <c r="J95" s="320"/>
    </row>
    <row r="96" spans="2:10" ht="12.75">
      <c r="B96" s="5" t="s">
        <v>185</v>
      </c>
      <c r="C96" s="6"/>
      <c r="D96" s="6"/>
      <c r="E96" s="6"/>
      <c r="F96" s="6"/>
      <c r="G96" s="314"/>
      <c r="H96" s="313">
        <f>Small_HCFs!I45</f>
        <v>1951393.7995961127</v>
      </c>
      <c r="I96" s="313"/>
      <c r="J96" s="321"/>
    </row>
    <row r="97" spans="2:10" ht="12.75">
      <c r="B97" s="5"/>
      <c r="C97" s="6" t="s">
        <v>98</v>
      </c>
      <c r="D97" s="6"/>
      <c r="E97" s="6"/>
      <c r="F97" s="6"/>
      <c r="G97" s="314"/>
      <c r="H97" s="313"/>
      <c r="I97" s="313">
        <f>SUM(H95:H96)</f>
        <v>2744378.3955572424</v>
      </c>
      <c r="J97" s="321">
        <f>I97*Small_HCFs!F9/Small_HCFs!F7</f>
        <v>54887.56791114485</v>
      </c>
    </row>
    <row r="98" spans="2:10" ht="12.75">
      <c r="B98" s="5" t="s">
        <v>97</v>
      </c>
      <c r="C98" s="6"/>
      <c r="D98" s="6"/>
      <c r="E98" s="6"/>
      <c r="F98" s="6"/>
      <c r="G98" s="314"/>
      <c r="H98" s="313">
        <f>Medium_HCFs!I73</f>
        <v>851799.1904019804</v>
      </c>
      <c r="I98" s="313"/>
      <c r="J98" s="321"/>
    </row>
    <row r="99" spans="2:10" ht="12.75">
      <c r="B99" s="5" t="s">
        <v>143</v>
      </c>
      <c r="C99" s="6"/>
      <c r="D99" s="6"/>
      <c r="E99" s="6"/>
      <c r="F99" s="6"/>
      <c r="G99" s="314"/>
      <c r="H99" s="313">
        <f>Medium_HCFs!I88</f>
        <v>2247397.449809429</v>
      </c>
      <c r="I99" s="313"/>
      <c r="J99" s="321"/>
    </row>
    <row r="100" spans="2:10" ht="12.75">
      <c r="B100" s="5"/>
      <c r="C100" s="6" t="s">
        <v>99</v>
      </c>
      <c r="D100" s="6"/>
      <c r="E100" s="6"/>
      <c r="F100" s="6"/>
      <c r="G100" s="314"/>
      <c r="H100" s="313"/>
      <c r="I100" s="313">
        <f>SUM(H98:H99)</f>
        <v>3099196.640211409</v>
      </c>
      <c r="J100" s="321">
        <f>I100*Medium_HCFs!E9/Medium_HCFs!E7</f>
        <v>61983.93280422818</v>
      </c>
    </row>
    <row r="101" spans="2:10" ht="12.75">
      <c r="B101" s="5" t="s">
        <v>145</v>
      </c>
      <c r="C101" s="6"/>
      <c r="D101" s="6"/>
      <c r="E101" s="6"/>
      <c r="F101" s="6"/>
      <c r="G101" s="314"/>
      <c r="H101" s="313">
        <f>Large_HCFs!I113</f>
        <v>152340.7326763778</v>
      </c>
      <c r="I101" s="313"/>
      <c r="J101" s="321"/>
    </row>
    <row r="102" spans="2:10" ht="12.75">
      <c r="B102" s="5" t="s">
        <v>147</v>
      </c>
      <c r="C102" s="6"/>
      <c r="D102" s="6"/>
      <c r="E102" s="6"/>
      <c r="F102" s="6"/>
      <c r="G102" s="314"/>
      <c r="H102" s="313">
        <f>Large_HCFs!I128</f>
        <v>1170238.8216650735</v>
      </c>
      <c r="I102" s="313"/>
      <c r="J102" s="321"/>
    </row>
    <row r="103" spans="2:10" ht="12.75">
      <c r="B103" s="5"/>
      <c r="C103" s="6" t="s">
        <v>100</v>
      </c>
      <c r="D103" s="6"/>
      <c r="E103" s="6"/>
      <c r="F103" s="6"/>
      <c r="G103" s="314"/>
      <c r="H103" s="313"/>
      <c r="I103" s="313">
        <f>SUM(H101:H102)</f>
        <v>1322579.5543414513</v>
      </c>
      <c r="J103" s="321">
        <f>I103*Large_HCFs!E9/Large_HCFs!E7</f>
        <v>26451.591086829027</v>
      </c>
    </row>
    <row r="104" spans="2:10" ht="12.75">
      <c r="B104" s="5" t="s">
        <v>17</v>
      </c>
      <c r="C104" s="6"/>
      <c r="D104" s="6"/>
      <c r="E104" s="6"/>
      <c r="F104" s="6"/>
      <c r="G104" s="314"/>
      <c r="H104" s="313">
        <f>Large_HCFs!S113</f>
        <v>129372.31906296649</v>
      </c>
      <c r="I104" s="313"/>
      <c r="J104" s="321"/>
    </row>
    <row r="105" spans="2:10" ht="12.75">
      <c r="B105" s="5" t="s">
        <v>19</v>
      </c>
      <c r="C105" s="6"/>
      <c r="D105" s="6"/>
      <c r="E105" s="6"/>
      <c r="F105" s="6"/>
      <c r="G105" s="314"/>
      <c r="H105" s="313">
        <f>Large_HCFs!S128</f>
        <v>1452538.1045024504</v>
      </c>
      <c r="I105" s="313"/>
      <c r="J105" s="321"/>
    </row>
    <row r="106" spans="2:10" ht="12.75">
      <c r="B106" s="5"/>
      <c r="C106" s="6" t="s">
        <v>20</v>
      </c>
      <c r="D106" s="6"/>
      <c r="E106" s="6"/>
      <c r="F106" s="6"/>
      <c r="G106" s="314"/>
      <c r="H106" s="313"/>
      <c r="I106" s="313">
        <f>SUM(H104:H105)</f>
        <v>1581910.4235654168</v>
      </c>
      <c r="J106" s="321">
        <f>I106*Large_HCFs!E9/Large_HCFs!E7</f>
        <v>31638.20847130834</v>
      </c>
    </row>
    <row r="107" spans="2:10" ht="12.75">
      <c r="B107" s="5" t="s">
        <v>118</v>
      </c>
      <c r="C107" s="6"/>
      <c r="D107" s="6"/>
      <c r="E107" s="6"/>
      <c r="F107" s="6"/>
      <c r="G107" s="314"/>
      <c r="H107" s="313">
        <f>Clusters!I173</f>
        <v>26693.07425516777</v>
      </c>
      <c r="I107" s="313"/>
      <c r="J107" s="321"/>
    </row>
    <row r="108" spans="2:10" ht="12.75">
      <c r="B108" s="5" t="s">
        <v>57</v>
      </c>
      <c r="C108" s="6"/>
      <c r="D108" s="6"/>
      <c r="E108" s="6"/>
      <c r="F108" s="6"/>
      <c r="G108" s="314"/>
      <c r="H108" s="313">
        <f>Clusters!I187</f>
        <v>1086484.676656286</v>
      </c>
      <c r="I108" s="313"/>
      <c r="J108" s="321"/>
    </row>
    <row r="109" spans="2:10" ht="12.75">
      <c r="B109" s="5" t="s">
        <v>67</v>
      </c>
      <c r="C109" s="6"/>
      <c r="D109" s="6"/>
      <c r="E109" s="6"/>
      <c r="F109" s="6"/>
      <c r="G109" s="314"/>
      <c r="H109" s="313">
        <f>Clusters!I196</f>
        <v>223963.46774290342</v>
      </c>
      <c r="I109" s="313"/>
      <c r="J109" s="321"/>
    </row>
    <row r="110" spans="2:10" ht="12.75">
      <c r="B110" s="5" t="s">
        <v>83</v>
      </c>
      <c r="C110" s="6"/>
      <c r="D110" s="6"/>
      <c r="E110" s="6"/>
      <c r="F110" s="6"/>
      <c r="G110" s="314"/>
      <c r="H110" s="313">
        <f>Clusters!I208</f>
        <v>164976.76355429034</v>
      </c>
      <c r="I110" s="313"/>
      <c r="J110" s="321"/>
    </row>
    <row r="111" spans="2:10" ht="12.75">
      <c r="B111" s="5"/>
      <c r="C111" s="6" t="s">
        <v>283</v>
      </c>
      <c r="D111" s="6"/>
      <c r="E111" s="6"/>
      <c r="F111" s="6"/>
      <c r="G111" s="314"/>
      <c r="H111" s="313"/>
      <c r="I111" s="313">
        <f>SUM(H107:H110)</f>
        <v>1502117.9822086475</v>
      </c>
      <c r="J111" s="321">
        <f>IF(AND(number_small_HCFs_medium_cluster=0,total_beds_medium_HCFs_medium_cluster=0,total_beds_large_HCFs_medium_cluster=0),0,I111*((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30042.35964417295</v>
      </c>
    </row>
    <row r="112" spans="2:10" ht="12.75">
      <c r="B112" s="5" t="s">
        <v>92</v>
      </c>
      <c r="C112" s="6"/>
      <c r="D112" s="6"/>
      <c r="E112" s="6"/>
      <c r="F112" s="6"/>
      <c r="G112" s="314"/>
      <c r="H112" s="313">
        <f>Clusters!S173</f>
        <v>32712.985052910513</v>
      </c>
      <c r="I112" s="313"/>
      <c r="J112" s="321"/>
    </row>
    <row r="113" spans="2:10" ht="12.75">
      <c r="B113" s="5" t="s">
        <v>41</v>
      </c>
      <c r="C113" s="6"/>
      <c r="D113" s="6"/>
      <c r="E113" s="6"/>
      <c r="F113" s="6"/>
      <c r="G113" s="314"/>
      <c r="H113" s="313">
        <f>Clusters!S187</f>
        <v>1350684.075428368</v>
      </c>
      <c r="I113" s="313"/>
      <c r="J113" s="321"/>
    </row>
    <row r="114" spans="2:10" ht="12.75">
      <c r="B114" s="5" t="s">
        <v>36</v>
      </c>
      <c r="C114" s="6"/>
      <c r="D114" s="6"/>
      <c r="E114" s="6"/>
      <c r="F114" s="6"/>
      <c r="G114" s="314"/>
      <c r="H114" s="313">
        <f>Clusters!S196</f>
        <v>227327.7387883636</v>
      </c>
      <c r="I114" s="313"/>
      <c r="J114" s="321"/>
    </row>
    <row r="115" spans="2:10" ht="12.75">
      <c r="B115" s="5" t="s">
        <v>39</v>
      </c>
      <c r="C115" s="6"/>
      <c r="D115" s="6"/>
      <c r="E115" s="6"/>
      <c r="F115" s="6"/>
      <c r="G115" s="314"/>
      <c r="H115" s="313">
        <f>Clusters!S208</f>
        <v>151434.62765883637</v>
      </c>
      <c r="I115" s="313"/>
      <c r="J115" s="321"/>
    </row>
    <row r="116" spans="2:10" ht="12.75">
      <c r="B116" s="5"/>
      <c r="C116" s="6" t="s">
        <v>284</v>
      </c>
      <c r="D116" s="6"/>
      <c r="E116" s="6"/>
      <c r="F116" s="6"/>
      <c r="G116" s="314"/>
      <c r="H116" s="313"/>
      <c r="I116" s="313">
        <f>SUM(H112:H115)</f>
        <v>1762159.4269284783</v>
      </c>
      <c r="J116" s="321">
        <f>IF(AND(number_small_HCFs_large_cluster=0,total_beds_medium_HCFs_large_cluster=0,total_beds_large_HCFs_large_cluster=0),0,I116*((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35243.188538569564</v>
      </c>
    </row>
    <row r="117" spans="2:10" ht="12.75">
      <c r="B117" s="5" t="s">
        <v>177</v>
      </c>
      <c r="C117" s="6"/>
      <c r="D117" s="6"/>
      <c r="E117" s="6"/>
      <c r="F117" s="6"/>
      <c r="G117" s="314"/>
      <c r="H117" s="313">
        <f>National!I30</f>
        <v>5102.687351261968</v>
      </c>
      <c r="I117" s="313"/>
      <c r="J117" s="321"/>
    </row>
    <row r="118" spans="2:10" ht="12.75">
      <c r="B118" s="5" t="s">
        <v>95</v>
      </c>
      <c r="C118" s="6"/>
      <c r="D118" s="6"/>
      <c r="E118" s="6"/>
      <c r="F118" s="6"/>
      <c r="G118" s="314"/>
      <c r="H118" s="313">
        <f>National!I39</f>
        <v>95190.2687351262</v>
      </c>
      <c r="I118" s="313"/>
      <c r="J118" s="321"/>
    </row>
    <row r="119" spans="2:10" ht="12.75">
      <c r="B119" s="70"/>
      <c r="C119" s="9" t="s">
        <v>101</v>
      </c>
      <c r="D119" s="9"/>
      <c r="E119" s="9"/>
      <c r="F119" s="9"/>
      <c r="G119" s="10"/>
      <c r="H119" s="313"/>
      <c r="I119" s="313">
        <f>SUM(H117:H118)</f>
        <v>100292.95608638816</v>
      </c>
      <c r="J119" s="321">
        <f>I119*Large_HCFs!E9/Large_HCFs!E7</f>
        <v>2005.8591217277633</v>
      </c>
    </row>
    <row r="120" spans="2:10" ht="13.5" thickBot="1">
      <c r="B120" s="73" t="s">
        <v>286</v>
      </c>
      <c r="C120" s="74"/>
      <c r="D120" s="74"/>
      <c r="E120" s="74"/>
      <c r="F120" s="74"/>
      <c r="G120" s="74"/>
      <c r="H120" s="322"/>
      <c r="I120" s="408">
        <f>SUM(I97:I119)</f>
        <v>12112635.378899032</v>
      </c>
      <c r="J120" s="329">
        <f>SUM(J97:J119)</f>
        <v>242252.70757798065</v>
      </c>
    </row>
    <row r="121" spans="2:10" ht="13.5" thickBot="1">
      <c r="B121" s="323"/>
      <c r="C121" s="4"/>
      <c r="D121" s="4"/>
      <c r="E121" s="4"/>
      <c r="F121" s="4"/>
      <c r="G121" s="4"/>
      <c r="H121" s="324"/>
      <c r="I121" s="324"/>
      <c r="J121" s="16"/>
    </row>
    <row r="122" spans="2:10" ht="16.5" thickBot="1">
      <c r="B122" s="305" t="s">
        <v>505</v>
      </c>
      <c r="C122" s="326"/>
      <c r="D122" s="326"/>
      <c r="E122" s="326"/>
      <c r="F122" s="326"/>
      <c r="G122" s="326"/>
      <c r="H122" s="327"/>
      <c r="I122" s="327"/>
      <c r="J122" s="318"/>
    </row>
    <row r="123" spans="2:10" ht="12.75">
      <c r="B123" s="5" t="s">
        <v>313</v>
      </c>
      <c r="C123" s="6"/>
      <c r="D123" s="6"/>
      <c r="E123" s="6"/>
      <c r="F123" s="6"/>
      <c r="G123" s="6"/>
      <c r="H123" s="315"/>
      <c r="I123" s="325">
        <f>I120/total_beds_national</f>
        <v>642.5801262015402</v>
      </c>
      <c r="J123" s="7" t="s">
        <v>308</v>
      </c>
    </row>
    <row r="124" spans="2:10" ht="12.75">
      <c r="B124" s="5" t="s">
        <v>314</v>
      </c>
      <c r="C124" s="6"/>
      <c r="D124" s="6"/>
      <c r="E124" s="6"/>
      <c r="F124" s="6"/>
      <c r="G124" s="6"/>
      <c r="H124" s="315"/>
      <c r="I124" s="325">
        <f>I120/(total_beds_national+no_small_HCFs)</f>
        <v>610.2083314306817</v>
      </c>
      <c r="J124" s="7" t="s">
        <v>312</v>
      </c>
    </row>
    <row r="125" spans="2:10" ht="12.75">
      <c r="B125" s="5" t="s">
        <v>315</v>
      </c>
      <c r="C125" s="6"/>
      <c r="D125" s="6"/>
      <c r="E125" s="6"/>
      <c r="F125" s="6"/>
      <c r="G125" s="6"/>
      <c r="H125" s="315"/>
      <c r="I125" s="325">
        <f>I120/population</f>
        <v>0.6056317689449516</v>
      </c>
      <c r="J125" s="7" t="s">
        <v>309</v>
      </c>
    </row>
    <row r="126" spans="2:10" ht="12.75">
      <c r="B126" s="5" t="s">
        <v>288</v>
      </c>
      <c r="C126" s="6"/>
      <c r="D126" s="6"/>
      <c r="E126" s="6"/>
      <c r="F126" s="6"/>
      <c r="G126" s="6"/>
      <c r="H126" s="315"/>
      <c r="I126" s="442">
        <f>I120/budget*100</f>
        <v>1.2112635378899033</v>
      </c>
      <c r="J126" s="7" t="s">
        <v>307</v>
      </c>
    </row>
    <row r="127" spans="2:10" ht="12.75">
      <c r="B127" s="5" t="s">
        <v>376</v>
      </c>
      <c r="C127" s="6"/>
      <c r="D127" s="6"/>
      <c r="E127" s="6"/>
      <c r="F127" s="6"/>
      <c r="G127" s="6"/>
      <c r="H127" s="315"/>
      <c r="I127" s="442">
        <f>I120/gdp*100</f>
        <v>1.2112635378899033</v>
      </c>
      <c r="J127" s="7" t="s">
        <v>307</v>
      </c>
    </row>
    <row r="128" spans="2:10" ht="12.75">
      <c r="B128" s="5" t="s">
        <v>316</v>
      </c>
      <c r="C128" s="6"/>
      <c r="D128" s="6"/>
      <c r="E128" s="6"/>
      <c r="F128" s="6"/>
      <c r="G128" s="6"/>
      <c r="H128" s="315"/>
      <c r="I128" s="325">
        <f>I120/G5</f>
        <v>3.2497730560669216</v>
      </c>
      <c r="J128" s="7" t="s">
        <v>310</v>
      </c>
    </row>
    <row r="129" spans="2:10" ht="12.75">
      <c r="B129" s="5" t="s">
        <v>317</v>
      </c>
      <c r="C129" s="6"/>
      <c r="D129" s="6"/>
      <c r="E129" s="6"/>
      <c r="F129" s="6"/>
      <c r="G129" s="6"/>
      <c r="H129" s="315"/>
      <c r="I129" s="325">
        <f>I120/G6</f>
        <v>0.43109234417214265</v>
      </c>
      <c r="J129" s="7" t="s">
        <v>310</v>
      </c>
    </row>
    <row r="130" spans="2:10" ht="12.75">
      <c r="B130" s="5" t="s">
        <v>318</v>
      </c>
      <c r="C130" s="6"/>
      <c r="D130" s="6"/>
      <c r="E130" s="6"/>
      <c r="F130" s="6"/>
      <c r="G130" s="6"/>
      <c r="H130" s="315"/>
      <c r="I130" s="325">
        <f>J120/G7</f>
        <v>3.2497730560669216</v>
      </c>
      <c r="J130" s="7" t="s">
        <v>310</v>
      </c>
    </row>
    <row r="131" spans="2:10" ht="13.5" thickBot="1">
      <c r="B131" s="300" t="s">
        <v>319</v>
      </c>
      <c r="C131" s="316"/>
      <c r="D131" s="316"/>
      <c r="E131" s="316"/>
      <c r="F131" s="316"/>
      <c r="G131" s="316"/>
      <c r="H131" s="316"/>
      <c r="I131" s="328">
        <f>J120/I8</f>
        <v>0.032497730560669215</v>
      </c>
      <c r="J131" s="301" t="s">
        <v>311</v>
      </c>
    </row>
    <row r="132" ht="13.5" thickBot="1"/>
    <row r="133" spans="2:10" ht="15.75">
      <c r="B133" s="531" t="s">
        <v>498</v>
      </c>
      <c r="C133" s="532"/>
      <c r="D133" s="533"/>
      <c r="E133" s="533"/>
      <c r="F133" s="533"/>
      <c r="G133" s="533"/>
      <c r="H133" s="538" t="s">
        <v>165</v>
      </c>
      <c r="I133" s="538" t="s">
        <v>165</v>
      </c>
      <c r="J133" s="539" t="s">
        <v>303</v>
      </c>
    </row>
    <row r="134" spans="2:10" ht="16.5" thickBot="1">
      <c r="B134" s="540" t="s">
        <v>508</v>
      </c>
      <c r="C134" s="534"/>
      <c r="D134" s="535"/>
      <c r="E134" s="535"/>
      <c r="F134" s="535"/>
      <c r="G134" s="535"/>
      <c r="H134" s="536"/>
      <c r="I134" s="536"/>
      <c r="J134" s="537"/>
    </row>
    <row r="135" spans="2:10" ht="12.75">
      <c r="B135" s="5" t="s">
        <v>408</v>
      </c>
      <c r="C135" s="6"/>
      <c r="D135" s="6"/>
      <c r="E135" s="6"/>
      <c r="F135" s="6"/>
      <c r="G135" s="314"/>
      <c r="H135" s="317">
        <f>Small_HCFs!I31</f>
        <v>792984.59596113</v>
      </c>
      <c r="I135" s="317"/>
      <c r="J135" s="320"/>
    </row>
    <row r="136" spans="2:10" ht="12.75">
      <c r="B136" s="5" t="s">
        <v>409</v>
      </c>
      <c r="C136" s="6"/>
      <c r="D136" s="6"/>
      <c r="E136" s="6"/>
      <c r="F136" s="6"/>
      <c r="G136" s="314"/>
      <c r="H136" s="313">
        <f>Small_HCFs!I45</f>
        <v>1951393.7995961127</v>
      </c>
      <c r="I136" s="313"/>
      <c r="J136" s="321"/>
    </row>
    <row r="137" spans="2:10" ht="12.75">
      <c r="B137" s="5"/>
      <c r="C137" s="6" t="s">
        <v>410</v>
      </c>
      <c r="D137" s="6"/>
      <c r="E137" s="6"/>
      <c r="F137" s="6"/>
      <c r="G137" s="314"/>
      <c r="H137" s="313"/>
      <c r="I137" s="313">
        <f>SUM(H135:H136)</f>
        <v>2744378.3955572424</v>
      </c>
      <c r="J137" s="321">
        <f>I137*Small_HCFs!F9/Small_HCFs!F7</f>
        <v>54887.56791114485</v>
      </c>
    </row>
    <row r="138" spans="2:10" ht="12.75">
      <c r="B138" s="5" t="s">
        <v>97</v>
      </c>
      <c r="C138" s="6"/>
      <c r="D138" s="6"/>
      <c r="E138" s="6"/>
      <c r="F138" s="6"/>
      <c r="G138" s="314"/>
      <c r="H138" s="313">
        <f>Medium_HCFs!I42</f>
        <v>535276.8225680495</v>
      </c>
      <c r="I138" s="313"/>
      <c r="J138" s="321"/>
    </row>
    <row r="139" spans="2:10" ht="12.75">
      <c r="B139" s="5" t="s">
        <v>143</v>
      </c>
      <c r="C139" s="6"/>
      <c r="D139" s="6"/>
      <c r="E139" s="6"/>
      <c r="F139" s="6"/>
      <c r="G139" s="314"/>
      <c r="H139" s="313">
        <f>Medium_HCFs!I58</f>
        <v>2217935.213026036</v>
      </c>
      <c r="I139" s="313"/>
      <c r="J139" s="321"/>
    </row>
    <row r="140" spans="2:10" ht="12.75">
      <c r="B140" s="5"/>
      <c r="C140" s="6" t="s">
        <v>99</v>
      </c>
      <c r="D140" s="6"/>
      <c r="E140" s="6"/>
      <c r="F140" s="6"/>
      <c r="G140" s="314"/>
      <c r="H140" s="313"/>
      <c r="I140" s="313">
        <f>SUM(H138:H139)</f>
        <v>2753212.0355940857</v>
      </c>
      <c r="J140" s="321">
        <f>I140*Medium_HCFs!E9/Medium_HCFs!E7</f>
        <v>55064.240711881714</v>
      </c>
    </row>
    <row r="141" spans="2:10" ht="12.75">
      <c r="B141" s="5" t="s">
        <v>145</v>
      </c>
      <c r="C141" s="6"/>
      <c r="D141" s="6"/>
      <c r="E141" s="6"/>
      <c r="F141" s="6"/>
      <c r="G141" s="314"/>
      <c r="H141" s="313">
        <f>Large_HCFs!I142</f>
        <v>270080.9345358184</v>
      </c>
      <c r="I141" s="313"/>
      <c r="J141" s="321"/>
    </row>
    <row r="142" spans="2:10" ht="12.75">
      <c r="B142" s="5" t="s">
        <v>147</v>
      </c>
      <c r="C142" s="6"/>
      <c r="D142" s="6"/>
      <c r="E142" s="6"/>
      <c r="F142" s="6"/>
      <c r="G142" s="314"/>
      <c r="H142" s="313">
        <f>Large_HCFs!I157</f>
        <v>1192713.4251843512</v>
      </c>
      <c r="I142" s="313"/>
      <c r="J142" s="321"/>
    </row>
    <row r="143" spans="2:10" ht="12.75">
      <c r="B143" s="5"/>
      <c r="C143" s="6" t="s">
        <v>100</v>
      </c>
      <c r="D143" s="6"/>
      <c r="E143" s="6"/>
      <c r="F143" s="6"/>
      <c r="G143" s="314"/>
      <c r="H143" s="313"/>
      <c r="I143" s="313">
        <f>SUM(H141:H142)</f>
        <v>1462794.3597201696</v>
      </c>
      <c r="J143" s="541">
        <f>I143*Large_HCFs!E9/Large_HCFs!E7</f>
        <v>29255.887194403393</v>
      </c>
    </row>
    <row r="144" spans="2:10" ht="12.75">
      <c r="B144" s="5" t="s">
        <v>17</v>
      </c>
      <c r="C144" s="6"/>
      <c r="D144" s="6"/>
      <c r="E144" s="6"/>
      <c r="F144" s="6"/>
      <c r="G144" s="314"/>
      <c r="H144" s="313">
        <f>Large_HCFs!S142</f>
        <v>262097.6391539373</v>
      </c>
      <c r="I144" s="313"/>
      <c r="J144" s="321"/>
    </row>
    <row r="145" spans="2:10" ht="12.75">
      <c r="B145" s="5" t="s">
        <v>19</v>
      </c>
      <c r="C145" s="6"/>
      <c r="D145" s="6"/>
      <c r="E145" s="6"/>
      <c r="F145" s="6"/>
      <c r="G145" s="314"/>
      <c r="H145" s="313">
        <f>Large_HCFs!S157</f>
        <v>1468958.7615115475</v>
      </c>
      <c r="I145" s="313"/>
      <c r="J145" s="321"/>
    </row>
    <row r="146" spans="2:10" ht="12.75">
      <c r="B146" s="5"/>
      <c r="C146" s="6" t="s">
        <v>20</v>
      </c>
      <c r="D146" s="6"/>
      <c r="E146" s="6"/>
      <c r="F146" s="6"/>
      <c r="G146" s="314"/>
      <c r="H146" s="313"/>
      <c r="I146" s="313">
        <f>SUM(H144:H145)</f>
        <v>1731056.4006654848</v>
      </c>
      <c r="J146" s="321">
        <f>I146*Large_HCFs!E9/Large_HCFs!E7</f>
        <v>34621.128013309695</v>
      </c>
    </row>
    <row r="147" spans="2:10" ht="12.75">
      <c r="B147" s="5" t="s">
        <v>118</v>
      </c>
      <c r="C147" s="6"/>
      <c r="D147" s="6"/>
      <c r="E147" s="6"/>
      <c r="F147" s="6"/>
      <c r="G147" s="314"/>
      <c r="H147" s="313">
        <f>Clusters!I224</f>
        <v>26693.07425516777</v>
      </c>
      <c r="I147" s="313"/>
      <c r="J147" s="321"/>
    </row>
    <row r="148" spans="2:10" ht="12.75">
      <c r="B148" s="5" t="s">
        <v>57</v>
      </c>
      <c r="C148" s="6"/>
      <c r="D148" s="6"/>
      <c r="E148" s="6"/>
      <c r="F148" s="6"/>
      <c r="G148" s="314"/>
      <c r="H148" s="313">
        <f>Clusters!I238</f>
        <v>1086484.676656286</v>
      </c>
      <c r="I148" s="313"/>
      <c r="J148" s="321"/>
    </row>
    <row r="149" spans="2:10" ht="12.75">
      <c r="B149" s="5" t="s">
        <v>67</v>
      </c>
      <c r="C149" s="6"/>
      <c r="D149" s="6"/>
      <c r="E149" s="6"/>
      <c r="F149" s="6"/>
      <c r="G149" s="314"/>
      <c r="H149" s="313">
        <f>Clusters!I246</f>
        <v>132090.9327217246</v>
      </c>
      <c r="I149" s="313"/>
      <c r="J149" s="321"/>
    </row>
    <row r="150" spans="2:10" ht="12.75">
      <c r="B150" s="5" t="s">
        <v>83</v>
      </c>
      <c r="C150" s="6"/>
      <c r="D150" s="6"/>
      <c r="E150" s="6"/>
      <c r="F150" s="6"/>
      <c r="G150" s="314"/>
      <c r="H150" s="313">
        <f>Clusters!I258</f>
        <v>155789.51005217247</v>
      </c>
      <c r="I150" s="313"/>
      <c r="J150" s="321"/>
    </row>
    <row r="151" spans="2:10" ht="12.75">
      <c r="B151" s="5"/>
      <c r="C151" s="6" t="s">
        <v>283</v>
      </c>
      <c r="D151" s="6"/>
      <c r="E151" s="6"/>
      <c r="F151" s="6"/>
      <c r="G151" s="314"/>
      <c r="H151" s="313"/>
      <c r="I151" s="313">
        <f>SUM(H147:H150)</f>
        <v>1401058.1936853507</v>
      </c>
      <c r="J151" s="321">
        <f>IF(AND(number_small_HCFs_medium_cluster=0,total_beds_medium_HCFs_medium_cluster=0,total_beds_large_HCFs_medium_cluster=0),0,I151*((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28021.163873707013</v>
      </c>
    </row>
    <row r="152" spans="2:10" ht="12.75">
      <c r="B152" s="5" t="s">
        <v>92</v>
      </c>
      <c r="C152" s="6"/>
      <c r="D152" s="6"/>
      <c r="E152" s="6"/>
      <c r="F152" s="6"/>
      <c r="G152" s="314"/>
      <c r="H152" s="313">
        <f>Clusters!S224</f>
        <v>32712.985052910513</v>
      </c>
      <c r="I152" s="313"/>
      <c r="J152" s="321"/>
    </row>
    <row r="153" spans="2:10" ht="12.75">
      <c r="B153" s="5" t="s">
        <v>41</v>
      </c>
      <c r="C153" s="6"/>
      <c r="D153" s="6"/>
      <c r="E153" s="6"/>
      <c r="F153" s="6"/>
      <c r="G153" s="314"/>
      <c r="H153" s="313">
        <f>Clusters!S238</f>
        <v>1350684.075428368</v>
      </c>
      <c r="I153" s="313"/>
      <c r="J153" s="321"/>
    </row>
    <row r="154" spans="2:10" ht="12.75">
      <c r="B154" s="5" t="s">
        <v>36</v>
      </c>
      <c r="C154" s="6"/>
      <c r="D154" s="6"/>
      <c r="E154" s="6"/>
      <c r="F154" s="6"/>
      <c r="G154" s="314"/>
      <c r="H154" s="313">
        <f>Clusters!S246</f>
        <v>235796.26015301075</v>
      </c>
      <c r="I154" s="313"/>
      <c r="J154" s="321"/>
    </row>
    <row r="155" spans="2:10" ht="12.75">
      <c r="B155" s="5" t="s">
        <v>39</v>
      </c>
      <c r="C155" s="6"/>
      <c r="D155" s="6"/>
      <c r="E155" s="6"/>
      <c r="F155" s="6"/>
      <c r="G155" s="314"/>
      <c r="H155" s="313">
        <f>Clusters!S258</f>
        <v>137985.47979530107</v>
      </c>
      <c r="I155" s="313"/>
      <c r="J155" s="321"/>
    </row>
    <row r="156" spans="2:10" ht="12.75">
      <c r="B156" s="5"/>
      <c r="C156" s="6" t="s">
        <v>284</v>
      </c>
      <c r="D156" s="6"/>
      <c r="E156" s="6"/>
      <c r="F156" s="6"/>
      <c r="G156" s="314"/>
      <c r="H156" s="313"/>
      <c r="I156" s="313">
        <f>SUM(H152:H155)</f>
        <v>1757178.8004295903</v>
      </c>
      <c r="J156" s="321">
        <f>IF(AND(number_small_HCFs_large_cluster=0,total_beds_medium_HCFs_large_cluster=0,total_beds_large_HCFs_large_cluster=0),0,I156*((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35143.5760085918</v>
      </c>
    </row>
    <row r="157" spans="2:10" ht="12.75">
      <c r="B157" s="5" t="s">
        <v>177</v>
      </c>
      <c r="C157" s="6"/>
      <c r="D157" s="6"/>
      <c r="E157" s="6"/>
      <c r="F157" s="6"/>
      <c r="G157" s="314"/>
      <c r="H157" s="313">
        <f>National!I30</f>
        <v>5102.687351261968</v>
      </c>
      <c r="I157" s="313"/>
      <c r="J157" s="321"/>
    </row>
    <row r="158" spans="2:10" ht="12.75">
      <c r="B158" s="5" t="s">
        <v>95</v>
      </c>
      <c r="C158" s="6"/>
      <c r="D158" s="6"/>
      <c r="E158" s="6"/>
      <c r="F158" s="6"/>
      <c r="G158" s="314"/>
      <c r="H158" s="313">
        <f>National!I39</f>
        <v>95190.2687351262</v>
      </c>
      <c r="I158" s="313"/>
      <c r="J158" s="321"/>
    </row>
    <row r="159" spans="2:10" ht="12.75">
      <c r="B159" s="70"/>
      <c r="C159" s="9" t="s">
        <v>101</v>
      </c>
      <c r="D159" s="9"/>
      <c r="E159" s="9"/>
      <c r="F159" s="9"/>
      <c r="G159" s="10"/>
      <c r="H159" s="313"/>
      <c r="I159" s="313">
        <f>SUM(H157:H158)</f>
        <v>100292.95608638816</v>
      </c>
      <c r="J159" s="321">
        <f>I159*Large_HCFs!E9/Large_HCFs!E7</f>
        <v>2005.8591217277633</v>
      </c>
    </row>
    <row r="160" spans="2:10" ht="13.5" thickBot="1">
      <c r="B160" s="73" t="s">
        <v>320</v>
      </c>
      <c r="C160" s="74"/>
      <c r="D160" s="74"/>
      <c r="E160" s="74"/>
      <c r="F160" s="74"/>
      <c r="G160" s="74"/>
      <c r="H160" s="322"/>
      <c r="I160" s="408">
        <f>SUM(I137:I159)</f>
        <v>11949971.141738312</v>
      </c>
      <c r="J160" s="329">
        <f>SUM(J137:J159)</f>
        <v>238999.4228347662</v>
      </c>
    </row>
    <row r="161" spans="2:10" ht="13.5" thickBot="1">
      <c r="B161" s="323"/>
      <c r="C161" s="4"/>
      <c r="D161" s="4"/>
      <c r="E161" s="4"/>
      <c r="F161" s="4"/>
      <c r="G161" s="4"/>
      <c r="H161" s="324"/>
      <c r="I161" s="324"/>
      <c r="J161" s="16"/>
    </row>
    <row r="162" spans="2:10" ht="16.5" thickBot="1">
      <c r="B162" s="305" t="s">
        <v>504</v>
      </c>
      <c r="C162" s="326"/>
      <c r="D162" s="326"/>
      <c r="E162" s="326"/>
      <c r="F162" s="326"/>
      <c r="G162" s="326"/>
      <c r="H162" s="327"/>
      <c r="I162" s="327"/>
      <c r="J162" s="318"/>
    </row>
    <row r="163" spans="2:10" ht="12.75">
      <c r="B163" s="5" t="s">
        <v>313</v>
      </c>
      <c r="C163" s="6"/>
      <c r="D163" s="6"/>
      <c r="E163" s="6"/>
      <c r="F163" s="6"/>
      <c r="G163" s="6"/>
      <c r="H163" s="315"/>
      <c r="I163" s="325">
        <f>I160/total_beds_national</f>
        <v>633.9507236996452</v>
      </c>
      <c r="J163" s="7" t="s">
        <v>308</v>
      </c>
    </row>
    <row r="164" spans="2:10" ht="12.75">
      <c r="B164" s="5" t="s">
        <v>314</v>
      </c>
      <c r="C164" s="6"/>
      <c r="D164" s="6"/>
      <c r="E164" s="6"/>
      <c r="F164" s="6"/>
      <c r="G164" s="6"/>
      <c r="H164" s="315"/>
      <c r="I164" s="325">
        <f>I160/(total_beds_national+no_small_HCFs)</f>
        <v>602.0136595334162</v>
      </c>
      <c r="J164" s="7" t="s">
        <v>312</v>
      </c>
    </row>
    <row r="165" spans="2:10" ht="12.75">
      <c r="B165" s="5" t="s">
        <v>315</v>
      </c>
      <c r="C165" s="6"/>
      <c r="D165" s="6"/>
      <c r="E165" s="6"/>
      <c r="F165" s="6"/>
      <c r="G165" s="6"/>
      <c r="H165" s="315"/>
      <c r="I165" s="325">
        <f>I160/population</f>
        <v>0.5974985570869156</v>
      </c>
      <c r="J165" s="7" t="s">
        <v>309</v>
      </c>
    </row>
    <row r="166" spans="2:10" ht="12.75">
      <c r="B166" s="5" t="s">
        <v>288</v>
      </c>
      <c r="C166" s="6"/>
      <c r="D166" s="6"/>
      <c r="E166" s="6"/>
      <c r="F166" s="6"/>
      <c r="G166" s="6"/>
      <c r="H166" s="315"/>
      <c r="I166" s="441">
        <f>I160/budget*100</f>
        <v>1.1949971141738311</v>
      </c>
      <c r="J166" s="7" t="s">
        <v>307</v>
      </c>
    </row>
    <row r="167" spans="2:10" ht="12.75">
      <c r="B167" s="5" t="s">
        <v>376</v>
      </c>
      <c r="C167" s="6"/>
      <c r="D167" s="6"/>
      <c r="E167" s="6"/>
      <c r="F167" s="6"/>
      <c r="G167" s="6"/>
      <c r="H167" s="315"/>
      <c r="I167" s="441">
        <f>I160/gdp*100</f>
        <v>1.1949971141738311</v>
      </c>
      <c r="J167" s="7" t="s">
        <v>307</v>
      </c>
    </row>
    <row r="168" spans="2:10" ht="12.75">
      <c r="B168" s="5" t="s">
        <v>316</v>
      </c>
      <c r="C168" s="6"/>
      <c r="D168" s="6"/>
      <c r="E168" s="6"/>
      <c r="F168" s="6"/>
      <c r="G168" s="6"/>
      <c r="H168" s="315"/>
      <c r="I168" s="325">
        <f>I160/G5</f>
        <v>3.2061308726299895</v>
      </c>
      <c r="J168" s="7" t="s">
        <v>310</v>
      </c>
    </row>
    <row r="169" spans="2:10" ht="12.75">
      <c r="B169" s="5" t="s">
        <v>317</v>
      </c>
      <c r="C169" s="6"/>
      <c r="D169" s="6"/>
      <c r="E169" s="6"/>
      <c r="F169" s="6"/>
      <c r="G169" s="6"/>
      <c r="H169" s="315"/>
      <c r="I169" s="325">
        <f>I160/G6</f>
        <v>0.4253030749407129</v>
      </c>
      <c r="J169" s="7" t="s">
        <v>310</v>
      </c>
    </row>
    <row r="170" spans="2:10" ht="12.75">
      <c r="B170" s="5" t="s">
        <v>318</v>
      </c>
      <c r="C170" s="6"/>
      <c r="D170" s="6"/>
      <c r="E170" s="6"/>
      <c r="F170" s="6"/>
      <c r="G170" s="6"/>
      <c r="H170" s="315"/>
      <c r="I170" s="325">
        <f>J160/G7</f>
        <v>3.206130872629989</v>
      </c>
      <c r="J170" s="7" t="s">
        <v>310</v>
      </c>
    </row>
    <row r="171" spans="2:10" ht="13.5" thickBot="1">
      <c r="B171" s="300" t="s">
        <v>319</v>
      </c>
      <c r="C171" s="316"/>
      <c r="D171" s="316"/>
      <c r="E171" s="316"/>
      <c r="F171" s="316"/>
      <c r="G171" s="316"/>
      <c r="H171" s="316"/>
      <c r="I171" s="328">
        <f>J160/I8</f>
        <v>0.03206130872629989</v>
      </c>
      <c r="J171" s="301" t="s">
        <v>311</v>
      </c>
    </row>
  </sheetData>
  <printOptions/>
  <pageMargins left="1.075" right="0.5" top="0.5" bottom="0.5" header="0.5" footer="0.5"/>
  <pageSetup orientation="landscape" paperSize="9" scale="95" r:id="rId1"/>
  <rowBreaks count="3" manualBreakCount="3">
    <brk id="38" max="9" man="1"/>
    <brk id="121" max="9" man="1"/>
    <brk id="161" max="9" man="1"/>
  </rowBreaks>
</worksheet>
</file>

<file path=xl/worksheets/sheet11.xml><?xml version="1.0" encoding="utf-8"?>
<worksheet xmlns="http://schemas.openxmlformats.org/spreadsheetml/2006/main" xmlns:r="http://schemas.openxmlformats.org/officeDocument/2006/relationships">
  <dimension ref="A2:D11"/>
  <sheetViews>
    <sheetView workbookViewId="0" topLeftCell="A3">
      <selection activeCell="P8" sqref="P8"/>
    </sheetView>
  </sheetViews>
  <sheetFormatPr defaultColWidth="9.140625" defaultRowHeight="12.75"/>
  <cols>
    <col min="1" max="1" width="2.57421875" style="0" customWidth="1"/>
    <col min="2" max="2" width="7.28125" style="0" customWidth="1"/>
    <col min="3" max="3" width="33.8515625" style="0" customWidth="1"/>
    <col min="4" max="4" width="14.00390625" style="0" customWidth="1"/>
    <col min="5" max="5" width="2.421875" style="0" customWidth="1"/>
  </cols>
  <sheetData>
    <row r="1" ht="13.5" thickBot="1"/>
    <row r="2" s="414" customFormat="1" ht="18.75" thickBot="1">
      <c r="A2" s="413" t="s">
        <v>26</v>
      </c>
    </row>
    <row r="3" ht="13.5" thickBot="1"/>
    <row r="4" spans="2:4" ht="26.25" thickBot="1">
      <c r="B4" s="432" t="s">
        <v>29</v>
      </c>
      <c r="C4" s="433" t="s">
        <v>30</v>
      </c>
      <c r="D4" s="434" t="s">
        <v>31</v>
      </c>
    </row>
    <row r="5" spans="2:4" ht="65.25" customHeight="1">
      <c r="B5" s="429">
        <v>1</v>
      </c>
      <c r="C5" s="430" t="s">
        <v>499</v>
      </c>
      <c r="D5" s="431">
        <f>Results!I37</f>
        <v>11178800.857783329</v>
      </c>
    </row>
    <row r="6" spans="2:4" ht="56.25" customHeight="1" thickBot="1">
      <c r="B6" s="426">
        <v>2</v>
      </c>
      <c r="C6" s="427" t="s">
        <v>500</v>
      </c>
      <c r="D6" s="428">
        <f>Results!I80</f>
        <v>14863471.98817373</v>
      </c>
    </row>
    <row r="7" spans="2:4" ht="42.75" customHeight="1" thickBot="1">
      <c r="B7" s="426">
        <v>3</v>
      </c>
      <c r="C7" s="427" t="s">
        <v>509</v>
      </c>
      <c r="D7" s="428">
        <f>Results!I120</f>
        <v>12112635.378899032</v>
      </c>
    </row>
    <row r="8" spans="2:4" ht="54.75" customHeight="1" thickBot="1">
      <c r="B8" s="426">
        <v>4</v>
      </c>
      <c r="C8" s="427" t="s">
        <v>501</v>
      </c>
      <c r="D8" s="428">
        <f>Results!I160</f>
        <v>11949971.141738312</v>
      </c>
    </row>
    <row r="9" ht="13.5" thickBot="1"/>
    <row r="10" spans="2:4" ht="12.75">
      <c r="B10" s="544" t="s">
        <v>29</v>
      </c>
      <c r="C10" s="545" t="s">
        <v>30</v>
      </c>
      <c r="D10" s="546" t="s">
        <v>502</v>
      </c>
    </row>
    <row r="11" spans="2:4" ht="13.5" thickBot="1">
      <c r="B11" s="543">
        <v>1</v>
      </c>
      <c r="C11" s="51" t="s">
        <v>503</v>
      </c>
      <c r="D11" s="547">
        <f>Results!J51</f>
        <v>21889.800000000003</v>
      </c>
    </row>
  </sheetData>
  <printOptions/>
  <pageMargins left="0.5" right="0.5"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4.28125" style="0" customWidth="1"/>
    <col min="2" max="2" width="116.7109375" style="487" customWidth="1"/>
  </cols>
  <sheetData>
    <row r="1" spans="1:2" ht="16.5" thickBot="1">
      <c r="A1" s="363" t="s">
        <v>354</v>
      </c>
      <c r="B1" s="548"/>
    </row>
    <row r="2" spans="1:2" ht="13.5" thickBot="1">
      <c r="A2" s="364">
        <v>1</v>
      </c>
      <c r="B2" s="549" t="s">
        <v>324</v>
      </c>
    </row>
    <row r="3" spans="1:2" ht="26.25" customHeight="1">
      <c r="A3" s="365" t="s">
        <v>347</v>
      </c>
      <c r="B3" s="550" t="s">
        <v>407</v>
      </c>
    </row>
    <row r="4" spans="1:2" ht="36.75" customHeight="1">
      <c r="A4" s="412" t="s">
        <v>347</v>
      </c>
      <c r="B4" s="551" t="s">
        <v>2</v>
      </c>
    </row>
    <row r="5" spans="1:2" ht="35.25" customHeight="1" thickBot="1">
      <c r="A5" s="366" t="s">
        <v>347</v>
      </c>
      <c r="B5" s="552" t="s">
        <v>348</v>
      </c>
    </row>
    <row r="6" spans="1:2" ht="13.5" thickBot="1">
      <c r="A6" s="361"/>
      <c r="B6" s="362"/>
    </row>
    <row r="7" spans="1:2" ht="13.5" thickBot="1">
      <c r="A7" s="367">
        <v>2</v>
      </c>
      <c r="B7" s="549" t="s">
        <v>363</v>
      </c>
    </row>
    <row r="8" spans="1:2" s="411" customFormat="1" ht="96.75" customHeight="1">
      <c r="A8" s="365" t="s">
        <v>347</v>
      </c>
      <c r="B8" s="553" t="s">
        <v>441</v>
      </c>
    </row>
    <row r="9" spans="1:2" ht="36.75" customHeight="1">
      <c r="A9" s="412" t="s">
        <v>347</v>
      </c>
      <c r="B9" s="551" t="s">
        <v>0</v>
      </c>
    </row>
    <row r="10" spans="1:2" ht="25.5" customHeight="1">
      <c r="A10" s="412" t="s">
        <v>347</v>
      </c>
      <c r="B10" s="551" t="s">
        <v>1</v>
      </c>
    </row>
    <row r="11" spans="1:2" ht="13.5" thickBot="1">
      <c r="A11" s="366" t="s">
        <v>347</v>
      </c>
      <c r="B11" s="554" t="s">
        <v>362</v>
      </c>
    </row>
    <row r="12" spans="1:2" ht="13.5" thickBot="1">
      <c r="A12" s="361"/>
      <c r="B12" s="362"/>
    </row>
    <row r="13" spans="1:2" ht="13.5" thickBot="1">
      <c r="A13" s="367">
        <v>3</v>
      </c>
      <c r="B13" s="549" t="s">
        <v>349</v>
      </c>
    </row>
    <row r="14" spans="1:2" ht="24">
      <c r="A14" s="365" t="s">
        <v>347</v>
      </c>
      <c r="B14" s="555" t="s">
        <v>366</v>
      </c>
    </row>
    <row r="15" spans="1:2" ht="12.75">
      <c r="A15" s="412" t="s">
        <v>347</v>
      </c>
      <c r="B15" s="556" t="s">
        <v>367</v>
      </c>
    </row>
    <row r="16" spans="1:2" ht="13.5" thickBot="1">
      <c r="A16" s="366" t="s">
        <v>347</v>
      </c>
      <c r="B16" s="557" t="s">
        <v>3</v>
      </c>
    </row>
    <row r="17" spans="1:2" ht="13.5" thickBot="1">
      <c r="A17" s="361"/>
      <c r="B17" s="362"/>
    </row>
    <row r="18" spans="1:2" ht="13.5" thickBot="1">
      <c r="A18" s="367">
        <v>4</v>
      </c>
      <c r="B18" s="549" t="s">
        <v>350</v>
      </c>
    </row>
    <row r="19" spans="1:2" ht="24">
      <c r="A19" s="365" t="s">
        <v>347</v>
      </c>
      <c r="B19" s="558" t="s">
        <v>5</v>
      </c>
    </row>
    <row r="20" spans="1:2" ht="48">
      <c r="A20" s="412"/>
      <c r="B20" s="559" t="s">
        <v>377</v>
      </c>
    </row>
    <row r="21" spans="1:2" ht="37.5" customHeight="1">
      <c r="A21" s="412" t="s">
        <v>347</v>
      </c>
      <c r="B21" s="559" t="s">
        <v>7</v>
      </c>
    </row>
    <row r="22" spans="1:2" ht="13.5" customHeight="1">
      <c r="A22" s="412" t="s">
        <v>347</v>
      </c>
      <c r="B22" s="559" t="s">
        <v>378</v>
      </c>
    </row>
    <row r="23" spans="1:2" ht="62.25" customHeight="1">
      <c r="A23" s="412" t="s">
        <v>347</v>
      </c>
      <c r="B23" s="559" t="s">
        <v>21</v>
      </c>
    </row>
    <row r="24" spans="1:2" ht="64.5" customHeight="1">
      <c r="A24" s="412" t="s">
        <v>347</v>
      </c>
      <c r="B24" s="559" t="s">
        <v>383</v>
      </c>
    </row>
    <row r="25" spans="1:2" ht="26.25" customHeight="1">
      <c r="A25" s="412"/>
      <c r="B25" s="559" t="s">
        <v>22</v>
      </c>
    </row>
    <row r="26" spans="1:2" ht="12.75">
      <c r="A26" s="412"/>
      <c r="B26" s="560" t="s">
        <v>375</v>
      </c>
    </row>
    <row r="27" spans="1:2" ht="12.75">
      <c r="A27" s="412"/>
      <c r="B27" s="559" t="s">
        <v>23</v>
      </c>
    </row>
    <row r="28" spans="1:2" ht="65.25" customHeight="1">
      <c r="A28" s="412" t="s">
        <v>347</v>
      </c>
      <c r="B28" s="561" t="s">
        <v>24</v>
      </c>
    </row>
    <row r="29" spans="1:2" ht="13.5" thickBot="1">
      <c r="A29" s="366" t="s">
        <v>347</v>
      </c>
      <c r="B29" s="562" t="s">
        <v>4</v>
      </c>
    </row>
    <row r="30" spans="1:2" ht="13.5" thickBot="1">
      <c r="A30" s="361"/>
      <c r="B30" s="362"/>
    </row>
    <row r="31" spans="1:2" ht="13.5" thickBot="1">
      <c r="A31" s="367">
        <v>5</v>
      </c>
      <c r="B31" s="549" t="s">
        <v>351</v>
      </c>
    </row>
    <row r="32" spans="1:2" ht="12.75">
      <c r="A32" s="368" t="s">
        <v>347</v>
      </c>
      <c r="B32" s="558" t="s">
        <v>352</v>
      </c>
    </row>
    <row r="33" spans="1:2" ht="36.75" thickBot="1">
      <c r="A33" s="366" t="s">
        <v>347</v>
      </c>
      <c r="B33" s="562" t="s">
        <v>353</v>
      </c>
    </row>
    <row r="34" spans="1:2" ht="12.75">
      <c r="A34" s="361"/>
      <c r="B34" s="362"/>
    </row>
  </sheetData>
  <printOptions/>
  <pageMargins left="1.075" right="0.5" top="0.5" bottom="0.5" header="0.5" footer="0.5"/>
  <pageSetup horizontalDpi="600" verticalDpi="600" orientation="landscape" paperSize="9" scale="95" r:id="rId1"/>
  <rowBreaks count="1" manualBreakCount="1">
    <brk id="17" max="255" man="1"/>
  </rowBreaks>
</worksheet>
</file>

<file path=xl/worksheets/sheet3.xml><?xml version="1.0" encoding="utf-8"?>
<worksheet xmlns="http://schemas.openxmlformats.org/spreadsheetml/2006/main" xmlns:r="http://schemas.openxmlformats.org/officeDocument/2006/relationships">
  <dimension ref="A2:H84"/>
  <sheetViews>
    <sheetView workbookViewId="0" topLeftCell="A1">
      <selection activeCell="A1" sqref="A1"/>
    </sheetView>
  </sheetViews>
  <sheetFormatPr defaultColWidth="9.140625" defaultRowHeight="12.75"/>
  <cols>
    <col min="1" max="1" width="4.00390625" style="0" customWidth="1"/>
    <col min="2" max="3" width="8.8515625" style="0" customWidth="1"/>
    <col min="4" max="4" width="15.8515625" style="0" customWidth="1"/>
    <col min="5" max="5" width="8.8515625" style="0" customWidth="1"/>
    <col min="6" max="6" width="18.8515625" style="0" customWidth="1"/>
    <col min="7" max="7" width="13.7109375" style="0" customWidth="1"/>
    <col min="8" max="8" width="14.28125" style="0" customWidth="1"/>
    <col min="9" max="16384" width="8.8515625" style="0" customWidth="1"/>
  </cols>
  <sheetData>
    <row r="1" ht="13.5" thickBot="1"/>
    <row r="2" s="130" customFormat="1" ht="18.75" thickBot="1">
      <c r="A2" s="129" t="s">
        <v>247</v>
      </c>
    </row>
    <row r="3" ht="13.5" thickBot="1"/>
    <row r="4" s="128" customFormat="1" ht="17.25" thickBot="1">
      <c r="A4" s="127" t="s">
        <v>247</v>
      </c>
    </row>
    <row r="5" s="116" customFormat="1" ht="17.25" thickBot="1"/>
    <row r="6" spans="2:8" s="117" customFormat="1" ht="16.5" thickBot="1">
      <c r="B6" s="574" t="s">
        <v>358</v>
      </c>
      <c r="C6" s="575"/>
      <c r="D6" s="123"/>
      <c r="E6" s="124" t="s">
        <v>213</v>
      </c>
      <c r="F6" s="375" t="s">
        <v>214</v>
      </c>
      <c r="G6" s="125" t="s">
        <v>229</v>
      </c>
      <c r="H6" s="72"/>
    </row>
    <row r="7" spans="2:8" ht="12.75">
      <c r="B7" s="70" t="s">
        <v>240</v>
      </c>
      <c r="C7" s="9"/>
      <c r="D7" s="10"/>
      <c r="E7" s="373">
        <v>0.03</v>
      </c>
      <c r="F7" s="126" t="s">
        <v>241</v>
      </c>
      <c r="G7" s="122">
        <v>0.03</v>
      </c>
      <c r="H7" s="6"/>
    </row>
    <row r="8" spans="2:8" ht="12.75">
      <c r="B8" s="44" t="s">
        <v>268</v>
      </c>
      <c r="C8" s="12"/>
      <c r="D8" s="13"/>
      <c r="E8" s="374">
        <v>0.01</v>
      </c>
      <c r="F8" s="120" t="s">
        <v>269</v>
      </c>
      <c r="G8" s="18">
        <v>0.01</v>
      </c>
      <c r="H8" s="6"/>
    </row>
    <row r="9" spans="2:8" ht="12.75">
      <c r="B9" s="44" t="s">
        <v>426</v>
      </c>
      <c r="C9" s="12"/>
      <c r="D9" s="13"/>
      <c r="E9" s="374">
        <v>100</v>
      </c>
      <c r="F9" s="120" t="s">
        <v>425</v>
      </c>
      <c r="G9" s="18">
        <v>100</v>
      </c>
      <c r="H9" s="6"/>
    </row>
    <row r="10" spans="2:8" ht="12.75">
      <c r="B10" s="44" t="s">
        <v>196</v>
      </c>
      <c r="C10" s="12"/>
      <c r="D10" s="13"/>
      <c r="E10" s="490">
        <f>0.13/0.85</f>
        <v>0.15294117647058825</v>
      </c>
      <c r="F10" s="120" t="s">
        <v>241</v>
      </c>
      <c r="G10" s="491">
        <f>0.13/0.85</f>
        <v>0.15294117647058825</v>
      </c>
      <c r="H10" s="6"/>
    </row>
    <row r="11" spans="2:8" ht="13.5" thickBot="1">
      <c r="B11" s="302" t="s">
        <v>424</v>
      </c>
      <c r="C11" s="316"/>
      <c r="D11" s="316"/>
      <c r="E11" s="492">
        <f>0.02/0.85</f>
        <v>0.023529411764705882</v>
      </c>
      <c r="F11" s="493" t="s">
        <v>241</v>
      </c>
      <c r="G11" s="494">
        <f>0.02/0.85</f>
        <v>0.023529411764705882</v>
      </c>
      <c r="H11" s="6"/>
    </row>
    <row r="12" ht="13.5" thickBot="1"/>
    <row r="13" s="128" customFormat="1" ht="17.25" thickBot="1">
      <c r="A13" s="127" t="s">
        <v>357</v>
      </c>
    </row>
    <row r="14" s="116" customFormat="1" ht="17.25" thickBot="1"/>
    <row r="15" spans="2:8" s="116" customFormat="1" ht="17.25" thickBot="1">
      <c r="B15" s="574" t="s">
        <v>258</v>
      </c>
      <c r="C15" s="575"/>
      <c r="D15" s="123"/>
      <c r="E15" s="124" t="s">
        <v>213</v>
      </c>
      <c r="F15" s="375" t="s">
        <v>214</v>
      </c>
      <c r="G15" s="124" t="s">
        <v>229</v>
      </c>
      <c r="H15" s="125" t="s">
        <v>249</v>
      </c>
    </row>
    <row r="16" spans="2:8" ht="12.75">
      <c r="B16" s="70" t="s">
        <v>252</v>
      </c>
      <c r="C16" s="9"/>
      <c r="D16" s="10"/>
      <c r="E16" s="381">
        <v>5</v>
      </c>
      <c r="F16" s="126" t="s">
        <v>243</v>
      </c>
      <c r="G16" s="11">
        <v>5</v>
      </c>
      <c r="H16" s="384">
        <v>2</v>
      </c>
    </row>
    <row r="17" spans="2:8" ht="12.75">
      <c r="B17" s="44" t="s">
        <v>248</v>
      </c>
      <c r="C17" s="12"/>
      <c r="D17" s="13"/>
      <c r="E17" s="382">
        <v>35</v>
      </c>
      <c r="F17" s="120" t="s">
        <v>243</v>
      </c>
      <c r="G17" s="15">
        <v>35</v>
      </c>
      <c r="H17" s="385">
        <v>2</v>
      </c>
    </row>
    <row r="18" spans="2:8" ht="12.75">
      <c r="B18" s="44" t="s">
        <v>419</v>
      </c>
      <c r="C18" s="12"/>
      <c r="D18" s="13"/>
      <c r="E18" s="382">
        <v>3000</v>
      </c>
      <c r="F18" s="120" t="s">
        <v>243</v>
      </c>
      <c r="G18" s="15">
        <v>3000</v>
      </c>
      <c r="H18" s="385">
        <v>5</v>
      </c>
    </row>
    <row r="19" spans="2:8" ht="12.75">
      <c r="B19" s="44" t="s">
        <v>250</v>
      </c>
      <c r="C19" s="12"/>
      <c r="D19" s="13"/>
      <c r="E19" s="382">
        <v>300</v>
      </c>
      <c r="F19" s="120" t="s">
        <v>243</v>
      </c>
      <c r="G19" s="15">
        <v>300</v>
      </c>
      <c r="H19" s="385">
        <v>5</v>
      </c>
    </row>
    <row r="20" spans="2:8" ht="12.75">
      <c r="B20" s="44" t="s">
        <v>225</v>
      </c>
      <c r="C20" s="12"/>
      <c r="D20" s="13"/>
      <c r="E20" s="382">
        <v>20</v>
      </c>
      <c r="F20" s="120" t="s">
        <v>243</v>
      </c>
      <c r="G20" s="15">
        <v>20</v>
      </c>
      <c r="H20" s="385">
        <v>2</v>
      </c>
    </row>
    <row r="21" spans="2:8" ht="12.75">
      <c r="B21" s="44" t="s">
        <v>197</v>
      </c>
      <c r="C21" s="12"/>
      <c r="D21" s="13"/>
      <c r="E21" s="382">
        <v>45</v>
      </c>
      <c r="F21" s="120" t="s">
        <v>243</v>
      </c>
      <c r="G21" s="15">
        <v>45</v>
      </c>
      <c r="H21" s="385">
        <v>4</v>
      </c>
    </row>
    <row r="22" spans="2:8" ht="12.75">
      <c r="B22" s="44" t="s">
        <v>198</v>
      </c>
      <c r="C22" s="12"/>
      <c r="D22" s="13"/>
      <c r="E22" s="382">
        <v>1000</v>
      </c>
      <c r="F22" s="120" t="s">
        <v>243</v>
      </c>
      <c r="G22" s="15">
        <v>1000</v>
      </c>
      <c r="H22" s="385">
        <v>10</v>
      </c>
    </row>
    <row r="23" spans="2:8" ht="12.75">
      <c r="B23" s="44" t="s">
        <v>429</v>
      </c>
      <c r="C23" s="12"/>
      <c r="D23" s="13"/>
      <c r="E23" s="382">
        <v>40000</v>
      </c>
      <c r="F23" s="120" t="s">
        <v>243</v>
      </c>
      <c r="G23" s="15">
        <v>40000</v>
      </c>
      <c r="H23" s="385">
        <v>10</v>
      </c>
    </row>
    <row r="24" spans="2:8" ht="12.75">
      <c r="B24" s="44" t="s">
        <v>199</v>
      </c>
      <c r="C24" s="12"/>
      <c r="D24" s="13"/>
      <c r="E24" s="382">
        <v>2000</v>
      </c>
      <c r="F24" s="120" t="s">
        <v>243</v>
      </c>
      <c r="G24" s="15">
        <v>2000</v>
      </c>
      <c r="H24" s="385">
        <v>10</v>
      </c>
    </row>
    <row r="25" spans="2:8" ht="12.75">
      <c r="B25" s="44" t="s">
        <v>433</v>
      </c>
      <c r="C25" s="12"/>
      <c r="D25" s="13"/>
      <c r="E25" s="382">
        <v>67000</v>
      </c>
      <c r="F25" s="120" t="s">
        <v>243</v>
      </c>
      <c r="G25" s="307">
        <v>67000</v>
      </c>
      <c r="H25" s="385">
        <v>10</v>
      </c>
    </row>
    <row r="26" spans="2:8" ht="12.75">
      <c r="B26" s="44" t="s">
        <v>478</v>
      </c>
      <c r="C26" s="12"/>
      <c r="D26" s="13"/>
      <c r="E26" s="382">
        <v>560000</v>
      </c>
      <c r="F26" s="120" t="s">
        <v>243</v>
      </c>
      <c r="G26" s="307">
        <v>560000</v>
      </c>
      <c r="H26" s="385">
        <v>10</v>
      </c>
    </row>
    <row r="27" spans="2:8" ht="12.75">
      <c r="B27" s="44" t="s">
        <v>479</v>
      </c>
      <c r="C27" s="12"/>
      <c r="D27" s="13"/>
      <c r="E27" s="382">
        <v>670000</v>
      </c>
      <c r="F27" s="120" t="s">
        <v>243</v>
      </c>
      <c r="G27" s="307">
        <v>670000</v>
      </c>
      <c r="H27" s="385">
        <v>10</v>
      </c>
    </row>
    <row r="28" spans="2:8" ht="12.75">
      <c r="B28" s="44" t="s">
        <v>131</v>
      </c>
      <c r="C28" s="12"/>
      <c r="D28" s="13"/>
      <c r="E28" s="382">
        <v>2000</v>
      </c>
      <c r="F28" s="120" t="s">
        <v>243</v>
      </c>
      <c r="G28" s="15">
        <v>2000</v>
      </c>
      <c r="H28" s="385">
        <v>10</v>
      </c>
    </row>
    <row r="29" spans="2:8" ht="12.75">
      <c r="B29" s="44" t="s">
        <v>132</v>
      </c>
      <c r="C29" s="12"/>
      <c r="D29" s="13"/>
      <c r="E29" s="382">
        <v>31200</v>
      </c>
      <c r="F29" s="120" t="s">
        <v>243</v>
      </c>
      <c r="G29" s="15">
        <v>31200</v>
      </c>
      <c r="H29" s="385">
        <v>10</v>
      </c>
    </row>
    <row r="30" spans="2:8" ht="12.75">
      <c r="B30" s="44" t="s">
        <v>133</v>
      </c>
      <c r="C30" s="12"/>
      <c r="D30" s="13"/>
      <c r="E30" s="382">
        <v>35</v>
      </c>
      <c r="F30" s="120" t="s">
        <v>243</v>
      </c>
      <c r="G30" s="15">
        <v>35</v>
      </c>
      <c r="H30" s="385">
        <v>2</v>
      </c>
    </row>
    <row r="31" spans="2:8" ht="12.75">
      <c r="B31" s="44" t="s">
        <v>447</v>
      </c>
      <c r="C31" s="12"/>
      <c r="D31" s="13"/>
      <c r="E31" s="382">
        <v>37500</v>
      </c>
      <c r="F31" s="120" t="s">
        <v>243</v>
      </c>
      <c r="G31" s="15">
        <v>37500</v>
      </c>
      <c r="H31" s="385">
        <v>10</v>
      </c>
    </row>
    <row r="32" spans="2:8" ht="12.75">
      <c r="B32" s="44" t="s">
        <v>455</v>
      </c>
      <c r="C32" s="12"/>
      <c r="D32" s="13"/>
      <c r="E32" s="382">
        <v>100000</v>
      </c>
      <c r="F32" s="120" t="s">
        <v>243</v>
      </c>
      <c r="G32" s="15">
        <v>100000</v>
      </c>
      <c r="H32" s="385">
        <v>10</v>
      </c>
    </row>
    <row r="33" spans="2:8" ht="12.75">
      <c r="B33" s="44" t="s">
        <v>384</v>
      </c>
      <c r="C33" s="12"/>
      <c r="D33" s="13"/>
      <c r="E33" s="382">
        <v>192000</v>
      </c>
      <c r="F33" s="120" t="s">
        <v>243</v>
      </c>
      <c r="G33" s="15">
        <v>192000</v>
      </c>
      <c r="H33" s="385">
        <v>10</v>
      </c>
    </row>
    <row r="34" spans="2:8" ht="12.75">
      <c r="B34" s="44" t="s">
        <v>448</v>
      </c>
      <c r="C34" s="12"/>
      <c r="D34" s="13"/>
      <c r="E34" s="382">
        <v>16600</v>
      </c>
      <c r="F34" s="120" t="s">
        <v>243</v>
      </c>
      <c r="G34" s="15">
        <f>16600/2</f>
        <v>8300</v>
      </c>
      <c r="H34" s="385">
        <v>10</v>
      </c>
    </row>
    <row r="35" spans="2:8" ht="12.75">
      <c r="B35" s="44" t="s">
        <v>456</v>
      </c>
      <c r="C35" s="12"/>
      <c r="D35" s="13"/>
      <c r="E35" s="382">
        <v>231000</v>
      </c>
      <c r="F35" s="120" t="s">
        <v>243</v>
      </c>
      <c r="G35" s="15">
        <v>231000</v>
      </c>
      <c r="H35" s="385">
        <v>10</v>
      </c>
    </row>
    <row r="36" spans="2:8" ht="12.75">
      <c r="B36" s="44" t="s">
        <v>151</v>
      </c>
      <c r="C36" s="12"/>
      <c r="D36" s="13"/>
      <c r="E36" s="382">
        <v>36500</v>
      </c>
      <c r="F36" s="120" t="s">
        <v>243</v>
      </c>
      <c r="G36" s="15">
        <v>36500</v>
      </c>
      <c r="H36" s="385">
        <v>10</v>
      </c>
    </row>
    <row r="37" spans="2:8" ht="12.75">
      <c r="B37" s="44" t="s">
        <v>364</v>
      </c>
      <c r="C37" s="12"/>
      <c r="D37" s="13"/>
      <c r="E37" s="382">
        <v>25000</v>
      </c>
      <c r="F37" s="120" t="s">
        <v>243</v>
      </c>
      <c r="G37" s="15">
        <v>25000</v>
      </c>
      <c r="H37" s="385">
        <v>5</v>
      </c>
    </row>
    <row r="38" spans="2:8" ht="12.75">
      <c r="B38" s="44" t="s">
        <v>484</v>
      </c>
      <c r="C38" s="12"/>
      <c r="D38" s="13"/>
      <c r="E38" s="382">
        <v>214000</v>
      </c>
      <c r="F38" s="120" t="s">
        <v>243</v>
      </c>
      <c r="G38" s="15">
        <v>214000</v>
      </c>
      <c r="H38" s="385">
        <v>10</v>
      </c>
    </row>
    <row r="39" spans="2:8" ht="12.75">
      <c r="B39" s="44" t="s">
        <v>485</v>
      </c>
      <c r="C39" s="12"/>
      <c r="D39" s="13"/>
      <c r="E39" s="382">
        <v>407000</v>
      </c>
      <c r="F39" s="120" t="s">
        <v>243</v>
      </c>
      <c r="G39" s="15">
        <v>407000</v>
      </c>
      <c r="H39" s="385">
        <v>10</v>
      </c>
    </row>
    <row r="40" spans="2:8" ht="12.75">
      <c r="B40" s="44" t="s">
        <v>486</v>
      </c>
      <c r="C40" s="12"/>
      <c r="D40" s="13"/>
      <c r="E40" s="382">
        <v>566000</v>
      </c>
      <c r="F40" s="120" t="s">
        <v>243</v>
      </c>
      <c r="G40" s="15">
        <v>566000</v>
      </c>
      <c r="H40" s="385">
        <v>10</v>
      </c>
    </row>
    <row r="41" spans="2:8" ht="12.75">
      <c r="B41" s="44" t="s">
        <v>34</v>
      </c>
      <c r="C41" s="12"/>
      <c r="D41" s="13"/>
      <c r="E41" s="382">
        <v>40000</v>
      </c>
      <c r="F41" s="120" t="s">
        <v>243</v>
      </c>
      <c r="G41" s="15">
        <v>40000</v>
      </c>
      <c r="H41" s="385">
        <v>5</v>
      </c>
    </row>
    <row r="42" spans="2:8" ht="12.75">
      <c r="B42" s="44" t="s">
        <v>398</v>
      </c>
      <c r="C42" s="12"/>
      <c r="D42" s="13"/>
      <c r="E42" s="382">
        <v>200</v>
      </c>
      <c r="F42" s="120" t="s">
        <v>243</v>
      </c>
      <c r="G42" s="15">
        <v>200</v>
      </c>
      <c r="H42" s="385">
        <v>5</v>
      </c>
    </row>
    <row r="43" spans="2:8" ht="12.75">
      <c r="B43" s="44" t="s">
        <v>470</v>
      </c>
      <c r="C43" s="12"/>
      <c r="D43" s="13"/>
      <c r="E43" s="382">
        <v>50000</v>
      </c>
      <c r="F43" s="120" t="s">
        <v>243</v>
      </c>
      <c r="G43" s="15">
        <v>50000</v>
      </c>
      <c r="H43" s="385">
        <v>10</v>
      </c>
    </row>
    <row r="44" spans="2:8" ht="12.75">
      <c r="B44" s="44" t="s">
        <v>93</v>
      </c>
      <c r="C44" s="12"/>
      <c r="D44" s="13"/>
      <c r="E44" s="382">
        <v>67000</v>
      </c>
      <c r="F44" s="120" t="s">
        <v>243</v>
      </c>
      <c r="G44" s="15">
        <v>125000</v>
      </c>
      <c r="H44" s="385">
        <v>10</v>
      </c>
    </row>
    <row r="45" spans="2:8" ht="12.75">
      <c r="B45" s="44" t="s">
        <v>365</v>
      </c>
      <c r="C45" s="12"/>
      <c r="D45" s="13"/>
      <c r="E45" s="382">
        <v>59000</v>
      </c>
      <c r="F45" s="120" t="s">
        <v>243</v>
      </c>
      <c r="G45" s="15">
        <v>56000</v>
      </c>
      <c r="H45" s="385">
        <v>5</v>
      </c>
    </row>
    <row r="46" spans="2:8" ht="12.75">
      <c r="B46" s="44" t="s">
        <v>6</v>
      </c>
      <c r="C46" s="12"/>
      <c r="D46" s="13"/>
      <c r="E46" s="382">
        <v>200000</v>
      </c>
      <c r="F46" s="120" t="s">
        <v>243</v>
      </c>
      <c r="G46" s="15">
        <v>200000</v>
      </c>
      <c r="H46" s="385">
        <v>10</v>
      </c>
    </row>
    <row r="47" spans="2:8" ht="12.75">
      <c r="B47" s="447" t="s">
        <v>387</v>
      </c>
      <c r="C47" s="448"/>
      <c r="D47" s="449"/>
      <c r="E47" s="452">
        <v>16600</v>
      </c>
      <c r="F47" s="450" t="s">
        <v>243</v>
      </c>
      <c r="G47" s="453">
        <v>16600</v>
      </c>
      <c r="H47" s="454">
        <v>10</v>
      </c>
    </row>
    <row r="48" spans="2:8" ht="13.5" thickBot="1">
      <c r="B48" s="73" t="s">
        <v>489</v>
      </c>
      <c r="C48" s="74"/>
      <c r="D48" s="53"/>
      <c r="E48" s="383">
        <f>G48</f>
        <v>286000</v>
      </c>
      <c r="F48" s="121" t="s">
        <v>243</v>
      </c>
      <c r="G48" s="51">
        <f>ROUND(147.5*350+234848,3-LEN(INT(147.5*350+234848)))</f>
        <v>286000</v>
      </c>
      <c r="H48" s="386">
        <v>10</v>
      </c>
    </row>
    <row r="49" ht="13.5" thickBot="1"/>
    <row r="50" s="128" customFormat="1" ht="17.25" thickBot="1">
      <c r="A50" s="127" t="s">
        <v>359</v>
      </c>
    </row>
    <row r="51" s="116" customFormat="1" ht="17.25" thickBot="1"/>
    <row r="52" spans="2:8" s="116" customFormat="1" ht="17.25" thickBot="1">
      <c r="B52" s="576" t="s">
        <v>258</v>
      </c>
      <c r="C52" s="577"/>
      <c r="D52" s="123"/>
      <c r="E52" s="124" t="s">
        <v>213</v>
      </c>
      <c r="F52" s="375" t="s">
        <v>214</v>
      </c>
      <c r="G52" s="125" t="s">
        <v>229</v>
      </c>
      <c r="H52" s="72"/>
    </row>
    <row r="53" spans="2:8" ht="12.75">
      <c r="B53" s="44" t="s">
        <v>392</v>
      </c>
      <c r="C53" s="12"/>
      <c r="D53" s="13"/>
      <c r="E53" s="379">
        <v>3.5</v>
      </c>
      <c r="F53" s="120" t="s">
        <v>391</v>
      </c>
      <c r="G53" s="18">
        <v>3.5</v>
      </c>
      <c r="H53" s="6"/>
    </row>
    <row r="54" spans="2:8" ht="12.75">
      <c r="B54" s="44" t="s">
        <v>416</v>
      </c>
      <c r="C54" s="12"/>
      <c r="D54" s="13"/>
      <c r="E54" s="379">
        <v>0.3</v>
      </c>
      <c r="F54" s="120" t="s">
        <v>417</v>
      </c>
      <c r="G54" s="18">
        <v>0.3</v>
      </c>
      <c r="H54" s="6"/>
    </row>
    <row r="55" spans="2:8" ht="12.75">
      <c r="B55" s="44" t="s">
        <v>253</v>
      </c>
      <c r="C55" s="12"/>
      <c r="D55" s="13"/>
      <c r="E55" s="379">
        <v>0.06</v>
      </c>
      <c r="F55" s="120" t="s">
        <v>227</v>
      </c>
      <c r="G55" s="18">
        <v>0.06</v>
      </c>
      <c r="H55" s="6"/>
    </row>
    <row r="56" spans="2:8" ht="12.75">
      <c r="B56" s="44" t="s">
        <v>271</v>
      </c>
      <c r="C56" s="12"/>
      <c r="D56" s="13"/>
      <c r="E56" s="379">
        <f>1.05*0.5*1</f>
        <v>0.525</v>
      </c>
      <c r="F56" s="120" t="s">
        <v>274</v>
      </c>
      <c r="G56" s="18">
        <v>0.53</v>
      </c>
      <c r="H56" s="6"/>
    </row>
    <row r="57" spans="2:8" ht="12.75">
      <c r="B57" s="44" t="s">
        <v>273</v>
      </c>
      <c r="C57" s="12"/>
      <c r="D57" s="13"/>
      <c r="E57" s="379">
        <v>0.5</v>
      </c>
      <c r="F57" s="120" t="s">
        <v>216</v>
      </c>
      <c r="G57" s="18">
        <v>0.5</v>
      </c>
      <c r="H57" s="6"/>
    </row>
    <row r="58" spans="2:8" ht="12.75">
      <c r="B58" s="44" t="s">
        <v>277</v>
      </c>
      <c r="C58" s="12"/>
      <c r="D58" s="13"/>
      <c r="E58" s="379">
        <v>0.1</v>
      </c>
      <c r="F58" s="120" t="s">
        <v>278</v>
      </c>
      <c r="G58" s="18">
        <v>0.05</v>
      </c>
      <c r="H58" s="6"/>
    </row>
    <row r="59" spans="2:8" ht="12.75">
      <c r="B59" s="44" t="s">
        <v>203</v>
      </c>
      <c r="C59" s="12"/>
      <c r="D59" s="13"/>
      <c r="E59" s="379">
        <v>0.12</v>
      </c>
      <c r="F59" s="120" t="s">
        <v>227</v>
      </c>
      <c r="G59" s="18">
        <v>0.12</v>
      </c>
      <c r="H59" s="6"/>
    </row>
    <row r="60" spans="2:8" ht="12.75">
      <c r="B60" s="44" t="s">
        <v>205</v>
      </c>
      <c r="C60" s="12"/>
      <c r="D60" s="13"/>
      <c r="E60" s="379">
        <f>4*0.25*1</f>
        <v>1</v>
      </c>
      <c r="F60" s="120" t="s">
        <v>274</v>
      </c>
      <c r="G60" s="18">
        <v>1</v>
      </c>
      <c r="H60" s="6"/>
    </row>
    <row r="61" spans="2:8" ht="12.75">
      <c r="B61" s="44" t="s">
        <v>206</v>
      </c>
      <c r="C61" s="12"/>
      <c r="D61" s="13"/>
      <c r="E61" s="379">
        <v>3</v>
      </c>
      <c r="F61" s="120" t="s">
        <v>207</v>
      </c>
      <c r="G61" s="18">
        <v>3</v>
      </c>
      <c r="H61" s="6"/>
    </row>
    <row r="62" spans="2:8" ht="12.75">
      <c r="B62" s="44" t="s">
        <v>396</v>
      </c>
      <c r="C62" s="12"/>
      <c r="D62" s="13"/>
      <c r="E62" s="379">
        <v>0.187</v>
      </c>
      <c r="F62" s="120" t="s">
        <v>397</v>
      </c>
      <c r="G62" s="18">
        <v>0.187</v>
      </c>
      <c r="H62" s="6"/>
    </row>
    <row r="63" spans="2:8" ht="12.75">
      <c r="B63" s="44" t="s">
        <v>401</v>
      </c>
      <c r="C63" s="12"/>
      <c r="D63" s="13"/>
      <c r="E63" s="379">
        <v>45</v>
      </c>
      <c r="F63" s="120" t="s">
        <v>165</v>
      </c>
      <c r="G63" s="18">
        <v>45</v>
      </c>
      <c r="H63" s="6"/>
    </row>
    <row r="64" spans="2:8" ht="12.75">
      <c r="B64" s="44" t="s">
        <v>450</v>
      </c>
      <c r="C64" s="12"/>
      <c r="D64" s="13"/>
      <c r="E64" s="379">
        <v>0.8</v>
      </c>
      <c r="F64" s="120" t="s">
        <v>209</v>
      </c>
      <c r="G64" s="18">
        <v>0.8</v>
      </c>
      <c r="H64" s="6"/>
    </row>
    <row r="65" spans="2:8" ht="12.75">
      <c r="B65" s="44" t="s">
        <v>452</v>
      </c>
      <c r="C65" s="12"/>
      <c r="D65" s="13"/>
      <c r="E65" s="379">
        <v>17</v>
      </c>
      <c r="F65" s="120" t="s">
        <v>451</v>
      </c>
      <c r="G65" s="18">
        <v>15</v>
      </c>
      <c r="H65" s="6"/>
    </row>
    <row r="66" spans="2:8" ht="12.75">
      <c r="B66" s="44" t="s">
        <v>459</v>
      </c>
      <c r="C66" s="12"/>
      <c r="D66" s="13"/>
      <c r="E66" s="379">
        <v>44</v>
      </c>
      <c r="F66" s="120" t="s">
        <v>451</v>
      </c>
      <c r="G66" s="18">
        <v>44</v>
      </c>
      <c r="H66" s="6"/>
    </row>
    <row r="67" spans="2:8" ht="12.75">
      <c r="B67" s="44" t="s">
        <v>475</v>
      </c>
      <c r="C67" s="12"/>
      <c r="D67" s="13"/>
      <c r="E67" s="379">
        <v>98</v>
      </c>
      <c r="F67" s="120" t="s">
        <v>451</v>
      </c>
      <c r="G67" s="18">
        <v>98</v>
      </c>
      <c r="H67" s="6"/>
    </row>
    <row r="68" spans="2:8" ht="12.75">
      <c r="B68" s="44" t="s">
        <v>434</v>
      </c>
      <c r="C68" s="12"/>
      <c r="D68" s="13"/>
      <c r="E68" s="379">
        <v>1.5</v>
      </c>
      <c r="F68" s="120" t="s">
        <v>435</v>
      </c>
      <c r="G68" s="18">
        <v>1.5</v>
      </c>
      <c r="H68" s="6"/>
    </row>
    <row r="69" spans="2:8" ht="12.75">
      <c r="B69" s="44" t="s">
        <v>480</v>
      </c>
      <c r="C69" s="12"/>
      <c r="D69" s="13"/>
      <c r="E69" s="379">
        <v>0.22</v>
      </c>
      <c r="F69" s="120" t="s">
        <v>481</v>
      </c>
      <c r="G69" s="18">
        <v>0.22</v>
      </c>
      <c r="H69" s="6"/>
    </row>
    <row r="70" spans="2:8" ht="12.75">
      <c r="B70" s="44" t="s">
        <v>461</v>
      </c>
      <c r="C70" s="12"/>
      <c r="D70" s="13"/>
      <c r="E70" s="379">
        <v>18</v>
      </c>
      <c r="F70" s="120" t="s">
        <v>435</v>
      </c>
      <c r="G70" s="18">
        <v>18</v>
      </c>
      <c r="H70" s="6"/>
    </row>
    <row r="71" spans="2:8" ht="12.75">
      <c r="B71" s="44" t="s">
        <v>463</v>
      </c>
      <c r="C71" s="12"/>
      <c r="D71" s="13"/>
      <c r="E71" s="379">
        <v>24</v>
      </c>
      <c r="F71" s="120" t="s">
        <v>435</v>
      </c>
      <c r="G71" s="18">
        <v>25</v>
      </c>
      <c r="H71" s="6"/>
    </row>
    <row r="72" spans="2:8" ht="12.75">
      <c r="B72" s="44" t="s">
        <v>437</v>
      </c>
      <c r="C72" s="12"/>
      <c r="D72" s="13"/>
      <c r="E72" s="379">
        <v>10</v>
      </c>
      <c r="F72" s="120" t="s">
        <v>438</v>
      </c>
      <c r="G72" s="18">
        <v>10</v>
      </c>
      <c r="H72" s="6"/>
    </row>
    <row r="73" spans="2:8" ht="12.75">
      <c r="B73" s="44" t="s">
        <v>462</v>
      </c>
      <c r="C73" s="12"/>
      <c r="D73" s="13"/>
      <c r="E73" s="379">
        <v>100</v>
      </c>
      <c r="F73" s="120" t="s">
        <v>438</v>
      </c>
      <c r="G73" s="18">
        <v>100</v>
      </c>
      <c r="H73" s="6"/>
    </row>
    <row r="74" spans="2:8" ht="12.75">
      <c r="B74" s="44" t="s">
        <v>464</v>
      </c>
      <c r="C74" s="12"/>
      <c r="D74" s="13"/>
      <c r="E74" s="379">
        <v>220</v>
      </c>
      <c r="F74" s="120" t="s">
        <v>438</v>
      </c>
      <c r="G74" s="18">
        <v>220</v>
      </c>
      <c r="H74" s="6"/>
    </row>
    <row r="75" spans="2:8" ht="12.75">
      <c r="B75" s="44" t="s">
        <v>403</v>
      </c>
      <c r="C75" s="12"/>
      <c r="D75" s="13"/>
      <c r="E75" s="379">
        <v>0.9</v>
      </c>
      <c r="F75" s="120" t="s">
        <v>404</v>
      </c>
      <c r="G75" s="18">
        <v>0.9</v>
      </c>
      <c r="H75" s="6"/>
    </row>
    <row r="76" spans="2:8" ht="12.75">
      <c r="B76" s="44" t="s">
        <v>77</v>
      </c>
      <c r="C76" s="12"/>
      <c r="D76" s="13"/>
      <c r="E76" s="379">
        <v>0.01</v>
      </c>
      <c r="F76" s="120" t="s">
        <v>78</v>
      </c>
      <c r="G76" s="18">
        <v>0.01</v>
      </c>
      <c r="H76" s="6"/>
    </row>
    <row r="77" spans="2:8" ht="12.75">
      <c r="B77" s="44" t="s">
        <v>136</v>
      </c>
      <c r="C77" s="12"/>
      <c r="D77" s="13"/>
      <c r="E77" s="379">
        <v>3</v>
      </c>
      <c r="F77" s="120" t="s">
        <v>207</v>
      </c>
      <c r="G77" s="18">
        <v>3</v>
      </c>
      <c r="H77" s="6"/>
    </row>
    <row r="78" spans="2:8" ht="12.75">
      <c r="B78" s="44" t="s">
        <v>152</v>
      </c>
      <c r="C78" s="12"/>
      <c r="D78" s="13"/>
      <c r="E78" s="379">
        <v>3</v>
      </c>
      <c r="F78" s="120" t="s">
        <v>207</v>
      </c>
      <c r="G78" s="18">
        <v>3</v>
      </c>
      <c r="H78" s="6"/>
    </row>
    <row r="79" spans="2:8" ht="12.75">
      <c r="B79" s="44" t="s">
        <v>37</v>
      </c>
      <c r="C79" s="12"/>
      <c r="D79" s="13"/>
      <c r="E79" s="379">
        <v>3</v>
      </c>
      <c r="F79" s="120" t="s">
        <v>207</v>
      </c>
      <c r="G79" s="18">
        <v>3</v>
      </c>
      <c r="H79" s="6"/>
    </row>
    <row r="80" spans="2:8" ht="12.75">
      <c r="B80" s="44" t="s">
        <v>79</v>
      </c>
      <c r="C80" s="12"/>
      <c r="D80" s="13"/>
      <c r="E80" s="379">
        <v>0.0062</v>
      </c>
      <c r="F80" s="120" t="s">
        <v>78</v>
      </c>
      <c r="G80" s="18">
        <v>0.0062</v>
      </c>
      <c r="H80" s="6"/>
    </row>
    <row r="81" spans="2:8" ht="12.75">
      <c r="B81" s="447" t="s">
        <v>385</v>
      </c>
      <c r="C81" s="448"/>
      <c r="D81" s="449"/>
      <c r="E81" s="390">
        <v>50600</v>
      </c>
      <c r="F81" s="450" t="s">
        <v>155</v>
      </c>
      <c r="G81" s="451">
        <v>9900</v>
      </c>
      <c r="H81" s="6"/>
    </row>
    <row r="82" spans="2:8" ht="12.75">
      <c r="B82" s="447" t="s">
        <v>457</v>
      </c>
      <c r="C82" s="448"/>
      <c r="D82" s="449"/>
      <c r="E82" s="390">
        <v>70286</v>
      </c>
      <c r="F82" s="450" t="s">
        <v>155</v>
      </c>
      <c r="G82" s="451">
        <v>70286</v>
      </c>
      <c r="H82" s="6"/>
    </row>
    <row r="83" spans="2:8" ht="12.75">
      <c r="B83" s="447" t="s">
        <v>386</v>
      </c>
      <c r="C83" s="448"/>
      <c r="D83" s="449"/>
      <c r="E83" s="390">
        <v>14300</v>
      </c>
      <c r="F83" s="450" t="s">
        <v>155</v>
      </c>
      <c r="G83" s="451">
        <v>14300</v>
      </c>
      <c r="H83" s="6"/>
    </row>
    <row r="84" spans="2:8" ht="13.5" thickBot="1">
      <c r="B84" s="73" t="s">
        <v>45</v>
      </c>
      <c r="C84" s="74"/>
      <c r="D84" s="53"/>
      <c r="E84" s="387">
        <f>G84</f>
        <v>83100</v>
      </c>
      <c r="F84" s="121" t="s">
        <v>155</v>
      </c>
      <c r="G84" s="52">
        <f>ROUND(82.5*350+54267,3-LEN(INT(82.5*350+54267)))</f>
        <v>83100</v>
      </c>
      <c r="H84" s="6"/>
    </row>
  </sheetData>
  <mergeCells count="3">
    <mergeCell ref="B6:C6"/>
    <mergeCell ref="B15:C15"/>
    <mergeCell ref="B52:C52"/>
  </mergeCells>
  <printOptions/>
  <pageMargins left="0.5" right="0.5" top="1.075" bottom="0.5" header="0.5" footer="0.5"/>
  <pageSetup orientation="portrait" paperSize="9" scale="95" r:id="rId1"/>
  <rowBreaks count="1" manualBreakCount="1">
    <brk id="49" max="7" man="1"/>
  </rowBreaks>
</worksheet>
</file>

<file path=xl/worksheets/sheet4.xml><?xml version="1.0" encoding="utf-8"?>
<worksheet xmlns="http://schemas.openxmlformats.org/spreadsheetml/2006/main" xmlns:r="http://schemas.openxmlformats.org/officeDocument/2006/relationships">
  <dimension ref="A2:G45"/>
  <sheetViews>
    <sheetView workbookViewId="0" topLeftCell="A1">
      <selection activeCell="A1" sqref="A1"/>
    </sheetView>
  </sheetViews>
  <sheetFormatPr defaultColWidth="9.140625" defaultRowHeight="12.75"/>
  <cols>
    <col min="1" max="1" width="4.7109375" style="0" customWidth="1"/>
    <col min="2" max="2" width="54.8515625" style="0" bestFit="1" customWidth="1"/>
    <col min="3" max="3" width="13.28125" style="0" bestFit="1" customWidth="1"/>
    <col min="4" max="4" width="14.28125" style="0" customWidth="1"/>
    <col min="5" max="5" width="12.421875" style="0" customWidth="1"/>
    <col min="6" max="16384" width="8.8515625" style="0" customWidth="1"/>
  </cols>
  <sheetData>
    <row r="1" ht="13.5" thickBot="1"/>
    <row r="2" s="160" customFormat="1" ht="18.75" thickBot="1">
      <c r="A2" s="297" t="s">
        <v>282</v>
      </c>
    </row>
    <row r="3" ht="13.5" thickBot="1"/>
    <row r="4" s="162" customFormat="1" ht="17.25" thickBot="1">
      <c r="A4" s="161" t="s">
        <v>285</v>
      </c>
    </row>
    <row r="5" ht="13.5" thickBot="1">
      <c r="C5" s="3"/>
    </row>
    <row r="6" spans="2:4" ht="15.75" thickBot="1">
      <c r="B6" s="146" t="s">
        <v>230</v>
      </c>
      <c r="C6" s="151" t="s">
        <v>52</v>
      </c>
      <c r="D6" s="152" t="s">
        <v>53</v>
      </c>
    </row>
    <row r="7" spans="2:4" ht="12.75">
      <c r="B7" s="144" t="s">
        <v>228</v>
      </c>
      <c r="C7" s="369">
        <v>1000</v>
      </c>
      <c r="D7" s="122"/>
    </row>
    <row r="8" spans="2:4" ht="13.5" thickBot="1">
      <c r="B8" s="5"/>
      <c r="C8" s="14"/>
      <c r="D8" s="7"/>
    </row>
    <row r="9" spans="2:4" ht="15.75" thickBot="1">
      <c r="B9" s="147" t="s">
        <v>231</v>
      </c>
      <c r="C9" s="154" t="s">
        <v>54</v>
      </c>
      <c r="D9" s="155" t="s">
        <v>53</v>
      </c>
    </row>
    <row r="10" spans="2:4" ht="12.75">
      <c r="B10" s="144" t="s">
        <v>232</v>
      </c>
      <c r="C10" s="370">
        <v>100</v>
      </c>
      <c r="D10" s="122"/>
    </row>
    <row r="11" spans="2:4" ht="12.75">
      <c r="B11" s="17" t="s">
        <v>189</v>
      </c>
      <c r="C11" s="371">
        <f>D11</f>
        <v>40</v>
      </c>
      <c r="D11" s="18">
        <v>40</v>
      </c>
    </row>
    <row r="12" spans="2:4" ht="13.5" thickBot="1">
      <c r="B12" s="5"/>
      <c r="C12" s="14"/>
      <c r="D12" s="7"/>
    </row>
    <row r="13" spans="2:4" s="83" customFormat="1" ht="15.75" thickBot="1">
      <c r="B13" s="148" t="s">
        <v>234</v>
      </c>
      <c r="C13" s="153" t="s">
        <v>54</v>
      </c>
      <c r="D13" s="145" t="s">
        <v>53</v>
      </c>
    </row>
    <row r="14" spans="2:4" ht="12.75">
      <c r="B14" s="144" t="s">
        <v>235</v>
      </c>
      <c r="C14" s="370">
        <v>10</v>
      </c>
      <c r="D14" s="122"/>
    </row>
    <row r="15" spans="2:4" ht="12.75">
      <c r="B15" s="17" t="s">
        <v>210</v>
      </c>
      <c r="C15" s="371">
        <v>250</v>
      </c>
      <c r="D15" s="18">
        <v>250</v>
      </c>
    </row>
    <row r="16" spans="2:4" ht="12.75">
      <c r="B16" s="17" t="s">
        <v>8</v>
      </c>
      <c r="C16" s="371">
        <v>5</v>
      </c>
      <c r="D16" s="18"/>
    </row>
    <row r="17" spans="2:4" ht="13.5" thickBot="1">
      <c r="B17" s="50" t="s">
        <v>9</v>
      </c>
      <c r="C17" s="372">
        <v>750</v>
      </c>
      <c r="D17" s="52">
        <v>750</v>
      </c>
    </row>
    <row r="18" spans="2:4" ht="13.5" thickBot="1">
      <c r="B18" s="6"/>
      <c r="C18" s="424"/>
      <c r="D18" s="6"/>
    </row>
    <row r="19" s="162" customFormat="1" ht="17.25" thickBot="1">
      <c r="A19" s="161" t="s">
        <v>25</v>
      </c>
    </row>
    <row r="20" ht="13.5" thickBot="1">
      <c r="C20" s="3"/>
    </row>
    <row r="21" spans="2:4" ht="15.75" thickBot="1">
      <c r="B21" s="149" t="s">
        <v>89</v>
      </c>
      <c r="C21" s="156" t="s">
        <v>52</v>
      </c>
      <c r="D21" s="157" t="s">
        <v>53</v>
      </c>
    </row>
    <row r="22" spans="2:4" ht="12.75">
      <c r="B22" s="144" t="s">
        <v>102</v>
      </c>
      <c r="C22" s="370">
        <v>2</v>
      </c>
      <c r="D22" s="18"/>
    </row>
    <row r="23" spans="2:4" ht="12.75">
      <c r="B23" s="17" t="s">
        <v>402</v>
      </c>
      <c r="C23" s="371">
        <v>25</v>
      </c>
      <c r="D23" s="18"/>
    </row>
    <row r="24" spans="2:4" ht="12.75">
      <c r="B24" s="17" t="s">
        <v>296</v>
      </c>
      <c r="C24" s="371">
        <v>10</v>
      </c>
      <c r="D24" s="18"/>
    </row>
    <row r="25" spans="2:4" ht="12.75">
      <c r="B25" s="17" t="s">
        <v>297</v>
      </c>
      <c r="C25" s="371">
        <f>D25</f>
        <v>400</v>
      </c>
      <c r="D25" s="18">
        <f>number_medium_HCFs_medium_cluster*40</f>
        <v>400</v>
      </c>
    </row>
    <row r="26" spans="2:4" ht="12.75">
      <c r="B26" s="17" t="s">
        <v>10</v>
      </c>
      <c r="C26" s="371">
        <v>3</v>
      </c>
      <c r="D26" s="18"/>
    </row>
    <row r="27" spans="2:4" ht="12.75">
      <c r="B27" s="17" t="s">
        <v>11</v>
      </c>
      <c r="C27" s="371">
        <f>D27</f>
        <v>1500</v>
      </c>
      <c r="D27" s="18">
        <f>number_large_HCFs_medium_cluster*500</f>
        <v>1500</v>
      </c>
    </row>
    <row r="28" spans="2:4" ht="13.5" thickBot="1">
      <c r="B28" s="5"/>
      <c r="C28" s="14"/>
      <c r="D28" s="7"/>
    </row>
    <row r="29" spans="2:4" ht="15.75" thickBot="1">
      <c r="B29" s="150" t="s">
        <v>88</v>
      </c>
      <c r="C29" s="158" t="s">
        <v>54</v>
      </c>
      <c r="D29" s="159" t="s">
        <v>53</v>
      </c>
    </row>
    <row r="30" spans="2:4" ht="12.75">
      <c r="B30" s="144" t="s">
        <v>90</v>
      </c>
      <c r="C30" s="370">
        <v>1</v>
      </c>
      <c r="D30" s="122"/>
    </row>
    <row r="31" spans="2:4" ht="12.75">
      <c r="B31" s="17" t="s">
        <v>298</v>
      </c>
      <c r="C31" s="371">
        <v>50</v>
      </c>
      <c r="D31" s="18"/>
    </row>
    <row r="32" spans="2:4" ht="12.75">
      <c r="B32" s="17" t="s">
        <v>299</v>
      </c>
      <c r="C32" s="371">
        <v>20</v>
      </c>
      <c r="D32" s="18"/>
    </row>
    <row r="33" spans="2:4" ht="12.75">
      <c r="B33" s="17" t="s">
        <v>300</v>
      </c>
      <c r="C33" s="371">
        <f>D33</f>
        <v>800</v>
      </c>
      <c r="D33" s="18">
        <f>number_medium_HCFs_large_cluster*40</f>
        <v>800</v>
      </c>
    </row>
    <row r="34" spans="2:4" ht="12.75">
      <c r="B34" s="17" t="s">
        <v>12</v>
      </c>
      <c r="C34" s="371">
        <v>8</v>
      </c>
      <c r="D34" s="18"/>
    </row>
    <row r="35" spans="2:4" ht="13.5" thickBot="1">
      <c r="B35" s="50" t="s">
        <v>13</v>
      </c>
      <c r="C35" s="372">
        <f>D35</f>
        <v>4000</v>
      </c>
      <c r="D35" s="52">
        <f>number_large_HCFs_large_cluster*500</f>
        <v>4000</v>
      </c>
    </row>
    <row r="36" ht="13.5" thickBot="1"/>
    <row r="37" s="162" customFormat="1" ht="17.25" thickBot="1">
      <c r="A37" s="161" t="s">
        <v>355</v>
      </c>
    </row>
    <row r="38" ht="13.5" thickBot="1"/>
    <row r="39" spans="2:4" ht="15">
      <c r="B39" s="435" t="s">
        <v>258</v>
      </c>
      <c r="C39" s="436" t="s">
        <v>52</v>
      </c>
      <c r="D39" s="437" t="s">
        <v>229</v>
      </c>
    </row>
    <row r="40" spans="2:4" ht="12.75">
      <c r="B40" s="5" t="s">
        <v>170</v>
      </c>
      <c r="C40" s="424">
        <f>D40</f>
        <v>18850</v>
      </c>
      <c r="D40" s="7">
        <f>number_medium_HCFs*beds_per_medium_HCF+number_large_A_HCFs*beds_per_large_A_HCF+number_large_B_HCFs*beds_per_large_B_HCF+(total_beds_medium_HCFs_medium_cluster+total_beds_large_HCFs_medium_cluster)*number_medium_clusters+(total_beds_medium_HCFs_large_cluster+total_beds_large_HCFs_large_cluster)*number_large_clusters</f>
        <v>18850</v>
      </c>
    </row>
    <row r="41" spans="2:4" ht="12.75">
      <c r="B41" s="5" t="s">
        <v>287</v>
      </c>
      <c r="C41" s="424">
        <v>20000000</v>
      </c>
      <c r="D41" s="7"/>
    </row>
    <row r="42" spans="2:4" ht="12.75">
      <c r="B42" s="438" t="s">
        <v>356</v>
      </c>
      <c r="C42" s="424">
        <v>1000000000</v>
      </c>
      <c r="D42" s="7"/>
    </row>
    <row r="43" spans="2:4" ht="13.5" thickBot="1">
      <c r="B43" s="302" t="s">
        <v>374</v>
      </c>
      <c r="C43" s="440">
        <v>1000000000</v>
      </c>
      <c r="D43" s="301"/>
    </row>
    <row r="45" ht="12.75">
      <c r="G45" s="439"/>
    </row>
  </sheetData>
  <printOptions/>
  <pageMargins left="0.5" right="0.5" top="1.075" bottom="0.5" header="0.5" footer="0.5"/>
  <pageSetup orientation="portrait" paperSize="9" scale="95" r:id="rId1"/>
</worksheet>
</file>

<file path=xl/worksheets/sheet5.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1" max="1" width="3.28125" style="80" customWidth="1"/>
    <col min="2" max="2" width="4.28125" style="80" customWidth="1"/>
    <col min="3" max="3" width="9.7109375" style="80" customWidth="1"/>
    <col min="4" max="4" width="13.7109375" style="80" customWidth="1"/>
    <col min="5" max="6" width="8.8515625" style="80" customWidth="1"/>
    <col min="7" max="7" width="13.28125" style="80" customWidth="1"/>
    <col min="8" max="8" width="8.8515625" style="80" customWidth="1"/>
    <col min="9" max="9" width="16.8515625" style="171" customWidth="1"/>
    <col min="10" max="16384" width="8.8515625" style="80" customWidth="1"/>
  </cols>
  <sheetData>
    <row r="1" s="78" customFormat="1" ht="13.5" thickBot="1">
      <c r="I1" s="170"/>
    </row>
    <row r="2" spans="1:9" s="48" customFormat="1" ht="18.75" thickBot="1">
      <c r="A2" s="47" t="s">
        <v>49</v>
      </c>
      <c r="I2" s="56"/>
    </row>
    <row r="3" ht="13.5" thickBot="1"/>
    <row r="4" spans="1:9" s="46" customFormat="1" ht="16.5" thickBot="1">
      <c r="A4" s="45" t="s">
        <v>218</v>
      </c>
      <c r="I4" s="57"/>
    </row>
    <row r="5" s="49" customFormat="1" ht="16.5" thickBot="1">
      <c r="I5" s="58"/>
    </row>
    <row r="6" spans="2:9" s="23" customFormat="1" ht="15">
      <c r="B6" s="172" t="s">
        <v>258</v>
      </c>
      <c r="C6" s="54"/>
      <c r="D6" s="54"/>
      <c r="E6" s="54"/>
      <c r="F6" s="173" t="s">
        <v>213</v>
      </c>
      <c r="G6" s="303" t="s">
        <v>214</v>
      </c>
      <c r="H6" s="174" t="s">
        <v>246</v>
      </c>
      <c r="I6" s="163"/>
    </row>
    <row r="7" spans="2:8" ht="12.75">
      <c r="B7" s="110" t="s">
        <v>301</v>
      </c>
      <c r="C7" s="111"/>
      <c r="D7" s="111"/>
      <c r="E7" s="111"/>
      <c r="F7" s="388">
        <v>1</v>
      </c>
      <c r="G7" s="178" t="s">
        <v>233</v>
      </c>
      <c r="H7" s="112">
        <v>1</v>
      </c>
    </row>
    <row r="8" spans="2:8" ht="12.75">
      <c r="B8" s="110" t="s">
        <v>244</v>
      </c>
      <c r="C8" s="111"/>
      <c r="D8" s="111"/>
      <c r="E8" s="111"/>
      <c r="F8" s="388">
        <v>0.15</v>
      </c>
      <c r="G8" s="178" t="s">
        <v>245</v>
      </c>
      <c r="H8" s="112">
        <v>0.15</v>
      </c>
    </row>
    <row r="9" spans="2:8" ht="12.75">
      <c r="B9" s="110" t="s">
        <v>302</v>
      </c>
      <c r="C9" s="111"/>
      <c r="D9" s="111"/>
      <c r="E9" s="111"/>
      <c r="F9" s="388">
        <v>0.02</v>
      </c>
      <c r="G9" s="178" t="s">
        <v>233</v>
      </c>
      <c r="H9" s="112">
        <v>0.02</v>
      </c>
    </row>
    <row r="10" spans="2:8" ht="12.75">
      <c r="B10" s="110" t="s">
        <v>238</v>
      </c>
      <c r="C10" s="111"/>
      <c r="D10" s="111"/>
      <c r="E10" s="111"/>
      <c r="F10" s="388">
        <v>261</v>
      </c>
      <c r="G10" s="178" t="s">
        <v>239</v>
      </c>
      <c r="H10" s="112">
        <v>261</v>
      </c>
    </row>
    <row r="11" spans="2:8" ht="12.75">
      <c r="B11" s="110" t="s">
        <v>242</v>
      </c>
      <c r="C11" s="111"/>
      <c r="D11" s="111"/>
      <c r="E11" s="111"/>
      <c r="F11" s="388">
        <v>0.5</v>
      </c>
      <c r="G11" s="178" t="s">
        <v>215</v>
      </c>
      <c r="H11" s="112">
        <v>0.5</v>
      </c>
    </row>
    <row r="12" spans="2:8" ht="12.75">
      <c r="B12" s="110" t="s">
        <v>254</v>
      </c>
      <c r="C12" s="111"/>
      <c r="D12" s="111"/>
      <c r="E12" s="111"/>
      <c r="F12" s="388">
        <v>40</v>
      </c>
      <c r="G12" s="178" t="s">
        <v>223</v>
      </c>
      <c r="H12" s="112">
        <v>2</v>
      </c>
    </row>
    <row r="13" spans="2:8" ht="12.75">
      <c r="B13" s="110" t="s">
        <v>255</v>
      </c>
      <c r="C13" s="111"/>
      <c r="D13" s="111"/>
      <c r="E13" s="111"/>
      <c r="F13" s="388">
        <v>0.08</v>
      </c>
      <c r="G13" s="178" t="s">
        <v>256</v>
      </c>
      <c r="H13" s="112">
        <v>0.08</v>
      </c>
    </row>
    <row r="14" spans="2:8" ht="12.75">
      <c r="B14" s="110" t="s">
        <v>257</v>
      </c>
      <c r="C14" s="111"/>
      <c r="D14" s="111"/>
      <c r="E14" s="111"/>
      <c r="F14" s="388">
        <v>100</v>
      </c>
      <c r="G14" s="178" t="s">
        <v>217</v>
      </c>
      <c r="H14" s="112">
        <v>5</v>
      </c>
    </row>
    <row r="15" spans="2:8" ht="12.75">
      <c r="B15" s="110" t="s">
        <v>183</v>
      </c>
      <c r="C15" s="111"/>
      <c r="D15" s="111"/>
      <c r="E15" s="111"/>
      <c r="F15" s="388">
        <v>3</v>
      </c>
      <c r="G15" s="178" t="s">
        <v>281</v>
      </c>
      <c r="H15" s="112">
        <v>3</v>
      </c>
    </row>
    <row r="16" spans="2:8" ht="12.75">
      <c r="B16" s="110" t="s">
        <v>411</v>
      </c>
      <c r="C16" s="111"/>
      <c r="D16" s="111"/>
      <c r="E16" s="111"/>
      <c r="F16" s="388">
        <v>15</v>
      </c>
      <c r="G16" s="178" t="s">
        <v>71</v>
      </c>
      <c r="H16" s="112">
        <v>15</v>
      </c>
    </row>
    <row r="17" spans="2:8" ht="13.5" thickBot="1">
      <c r="B17" s="179" t="s">
        <v>412</v>
      </c>
      <c r="C17" s="180"/>
      <c r="D17" s="180"/>
      <c r="E17" s="180"/>
      <c r="F17" s="389">
        <v>50</v>
      </c>
      <c r="G17" s="183" t="s">
        <v>71</v>
      </c>
      <c r="H17" s="184">
        <v>50</v>
      </c>
    </row>
    <row r="18" spans="3:8" ht="13.5" thickBot="1">
      <c r="C18" s="111"/>
      <c r="D18" s="111"/>
      <c r="E18" s="111"/>
      <c r="F18" s="111"/>
      <c r="G18" s="185"/>
      <c r="H18" s="111"/>
    </row>
    <row r="19" spans="1:9" s="186" customFormat="1" ht="16.5" thickBot="1">
      <c r="A19" s="45" t="s">
        <v>50</v>
      </c>
      <c r="G19" s="187"/>
      <c r="I19" s="188"/>
    </row>
    <row r="20" ht="13.5" thickBot="1"/>
    <row r="21" spans="2:9" ht="15">
      <c r="B21" s="189" t="s">
        <v>421</v>
      </c>
      <c r="C21" s="190"/>
      <c r="D21" s="81"/>
      <c r="E21" s="81"/>
      <c r="F21" s="81"/>
      <c r="G21" s="81"/>
      <c r="H21" s="81"/>
      <c r="I21" s="191"/>
    </row>
    <row r="22" spans="2:9" ht="12.75">
      <c r="B22" s="110"/>
      <c r="C22" s="111"/>
      <c r="D22" s="111"/>
      <c r="E22" s="111"/>
      <c r="F22" s="111"/>
      <c r="G22" s="111"/>
      <c r="H22" s="111"/>
      <c r="I22" s="192"/>
    </row>
    <row r="23" spans="2:9" ht="15">
      <c r="B23" s="193" t="s">
        <v>219</v>
      </c>
      <c r="C23" s="194"/>
      <c r="D23" s="194"/>
      <c r="E23" s="194"/>
      <c r="F23" s="194"/>
      <c r="G23" s="194"/>
      <c r="H23" s="194"/>
      <c r="I23" s="195"/>
    </row>
    <row r="24" spans="2:9" ht="14.25">
      <c r="B24" s="196" t="s">
        <v>220</v>
      </c>
      <c r="C24" s="197" t="s">
        <v>258</v>
      </c>
      <c r="D24" s="68"/>
      <c r="E24" s="69"/>
      <c r="F24" s="198" t="s">
        <v>259</v>
      </c>
      <c r="G24" s="393" t="s">
        <v>260</v>
      </c>
      <c r="H24" s="393" t="s">
        <v>261</v>
      </c>
      <c r="I24" s="199" t="s">
        <v>262</v>
      </c>
    </row>
    <row r="25" spans="2:9" ht="12.75">
      <c r="B25" s="200">
        <v>1</v>
      </c>
      <c r="C25" s="201" t="s">
        <v>263</v>
      </c>
      <c r="D25" s="202"/>
      <c r="E25" s="203"/>
      <c r="F25" s="204">
        <f>cost_15L_bin</f>
        <v>5</v>
      </c>
      <c r="G25" s="394">
        <f>TRUNC(F7/bulk_density_small_HCF/15)+TRUNC(F7/bulk_density_small_HCF/ratio_inf_to_noninf/15)+2</f>
        <v>4</v>
      </c>
      <c r="H25" s="394">
        <f>life_15L_bin</f>
        <v>2</v>
      </c>
      <c r="I25" s="205">
        <f>((F25*discount_rate)/(1-(1/(1+discount_rate)^H25)))*G25</f>
        <v>10.452216748768471</v>
      </c>
    </row>
    <row r="26" spans="2:9" ht="12.75">
      <c r="B26" s="200">
        <v>2</v>
      </c>
      <c r="C26" s="201" t="s">
        <v>264</v>
      </c>
      <c r="D26" s="202"/>
      <c r="E26" s="203"/>
      <c r="F26" s="204">
        <f>cost_PPE</f>
        <v>35</v>
      </c>
      <c r="G26" s="394">
        <v>1</v>
      </c>
      <c r="H26" s="394">
        <f>life_PPE</f>
        <v>2</v>
      </c>
      <c r="I26" s="205">
        <f>((F26*discount_rate)/(1-(1/(1+discount_rate)^H26)))*G26</f>
        <v>18.291379310344826</v>
      </c>
    </row>
    <row r="27" spans="2:9" ht="12.75">
      <c r="B27" s="200">
        <v>3</v>
      </c>
      <c r="C27" s="201" t="s">
        <v>419</v>
      </c>
      <c r="D27" s="202"/>
      <c r="E27" s="203"/>
      <c r="F27" s="204">
        <f>cost_small_autoclave_or_microwave</f>
        <v>3000</v>
      </c>
      <c r="G27" s="394">
        <v>1</v>
      </c>
      <c r="H27" s="394">
        <f>life_small_autoclave_or_microwave</f>
        <v>5</v>
      </c>
      <c r="I27" s="205">
        <f>((F27*discount_rate)/(1-(1/(1+discount_rate)^H27)))*G27</f>
        <v>655.0637142017287</v>
      </c>
    </row>
    <row r="28" spans="2:9" ht="12.75">
      <c r="B28" s="200">
        <v>4</v>
      </c>
      <c r="C28" s="201" t="s">
        <v>420</v>
      </c>
      <c r="D28" s="202"/>
      <c r="E28" s="203"/>
      <c r="F28" s="204">
        <f>cost_simple_autoclave_shelter</f>
        <v>300</v>
      </c>
      <c r="G28" s="394">
        <v>1</v>
      </c>
      <c r="H28" s="394">
        <f>life_simple_autoclave_shelter</f>
        <v>5</v>
      </c>
      <c r="I28" s="205">
        <f>((F28*discount_rate)/(1-(1/(1+discount_rate)^H28)))*G28</f>
        <v>65.50637142017287</v>
      </c>
    </row>
    <row r="29" spans="2:9" ht="13.5" thickBot="1">
      <c r="B29" s="206">
        <v>5</v>
      </c>
      <c r="C29" s="207" t="s">
        <v>398</v>
      </c>
      <c r="D29" s="208"/>
      <c r="E29" s="209"/>
      <c r="F29" s="210">
        <f>cost_incubator_kit</f>
        <v>200</v>
      </c>
      <c r="G29" s="395">
        <v>1</v>
      </c>
      <c r="H29" s="395">
        <f>life_incubator_kit</f>
        <v>5</v>
      </c>
      <c r="I29" s="211">
        <f>((F29*discount_rate)/(1-(1/(1+discount_rate)^H29)))*G29</f>
        <v>43.67091428011524</v>
      </c>
    </row>
    <row r="30" spans="2:9" ht="15.75" thickTop="1">
      <c r="B30" s="30"/>
      <c r="C30" s="31" t="s">
        <v>266</v>
      </c>
      <c r="D30" s="31"/>
      <c r="E30" s="31"/>
      <c r="F30" s="31"/>
      <c r="G30" s="31"/>
      <c r="H30" s="31"/>
      <c r="I30" s="59">
        <f>SUM(I25:I29)</f>
        <v>792.98459596113</v>
      </c>
    </row>
    <row r="31" spans="2:9" ht="15">
      <c r="B31" s="30"/>
      <c r="C31" s="31" t="s">
        <v>267</v>
      </c>
      <c r="D31" s="31"/>
      <c r="E31" s="31"/>
      <c r="F31" s="31"/>
      <c r="G31" s="31"/>
      <c r="H31" s="31"/>
      <c r="I31" s="59">
        <f>I30*number_small_HCFs</f>
        <v>792984.59596113</v>
      </c>
    </row>
    <row r="32" spans="2:9" ht="15">
      <c r="B32" s="193" t="s">
        <v>221</v>
      </c>
      <c r="C32" s="194"/>
      <c r="D32" s="194"/>
      <c r="E32" s="194"/>
      <c r="F32" s="194"/>
      <c r="G32" s="194"/>
      <c r="H32" s="194"/>
      <c r="I32" s="195"/>
    </row>
    <row r="33" spans="2:9" ht="14.25">
      <c r="B33" s="196" t="s">
        <v>220</v>
      </c>
      <c r="C33" s="197" t="s">
        <v>258</v>
      </c>
      <c r="D33" s="68"/>
      <c r="E33" s="69"/>
      <c r="F33" s="198" t="s">
        <v>259</v>
      </c>
      <c r="G33" s="393" t="s">
        <v>260</v>
      </c>
      <c r="H33" s="198" t="s">
        <v>149</v>
      </c>
      <c r="I33" s="199" t="s">
        <v>262</v>
      </c>
    </row>
    <row r="34" spans="2:9" ht="12.75">
      <c r="B34" s="200">
        <v>1</v>
      </c>
      <c r="C34" s="201" t="s">
        <v>415</v>
      </c>
      <c r="D34" s="202"/>
      <c r="E34" s="203"/>
      <c r="F34" s="204">
        <f>cost_5L_plastic_sharps_container</f>
        <v>3.5</v>
      </c>
      <c r="G34" s="394">
        <f>F9/weight_syringe*days_per_year_small_HCF/capacity_safety_box</f>
        <v>5.22</v>
      </c>
      <c r="H34" s="204" t="s">
        <v>418</v>
      </c>
      <c r="I34" s="205">
        <f>F34*G34</f>
        <v>18.27</v>
      </c>
    </row>
    <row r="35" spans="2:9" ht="12.75">
      <c r="B35" s="200">
        <v>2</v>
      </c>
      <c r="C35" s="201" t="s">
        <v>251</v>
      </c>
      <c r="D35" s="202"/>
      <c r="E35" s="203"/>
      <c r="F35" s="204">
        <f>cost_15L_plastic_bag</f>
        <v>0.06</v>
      </c>
      <c r="G35" s="394">
        <f>(TRUNC(F7/bulk_density_small_HCF/15)+1)*days_per_year_small_HCF</f>
        <v>261</v>
      </c>
      <c r="H35" s="204"/>
      <c r="I35" s="205">
        <f>F35*G35</f>
        <v>15.66</v>
      </c>
    </row>
    <row r="36" spans="2:9" ht="12.75">
      <c r="B36" s="200">
        <v>3</v>
      </c>
      <c r="C36" s="201" t="s">
        <v>270</v>
      </c>
      <c r="D36" s="202"/>
      <c r="E36" s="203"/>
      <c r="F36" s="204">
        <f>F13</f>
        <v>0.08</v>
      </c>
      <c r="G36" s="394">
        <f>TRUNC(F7/bulk_density_small_HCF/24)+1</f>
        <v>1</v>
      </c>
      <c r="H36" s="204" t="s">
        <v>276</v>
      </c>
      <c r="I36" s="205">
        <f>F36*kWh_per_cycle_24Lautoclave*G36*days_per_year_small_HCF</f>
        <v>10.962000000000002</v>
      </c>
    </row>
    <row r="37" spans="2:9" ht="12.75">
      <c r="B37" s="200">
        <v>4</v>
      </c>
      <c r="C37" s="201" t="s">
        <v>272</v>
      </c>
      <c r="D37" s="202"/>
      <c r="E37" s="203"/>
      <c r="F37" s="204">
        <f>Cost_water_sewage</f>
        <v>0.5</v>
      </c>
      <c r="G37" s="394">
        <f>TRUNC(F7/bulk_density_small_HCF/24)+1</f>
        <v>1</v>
      </c>
      <c r="H37" s="204" t="s">
        <v>276</v>
      </c>
      <c r="I37" s="205">
        <f>F37/1000*liter_percycle_24L*G37*days_per_year_small_HCF</f>
        <v>0.06525</v>
      </c>
    </row>
    <row r="38" spans="2:9" ht="12.75">
      <c r="B38" s="200">
        <v>5</v>
      </c>
      <c r="C38" s="201" t="s">
        <v>394</v>
      </c>
      <c r="D38" s="202"/>
      <c r="E38" s="203"/>
      <c r="F38" s="204">
        <f>cost_per_autoclave_test_indicator</f>
        <v>0.187</v>
      </c>
      <c r="G38" s="394">
        <f>TRUNC(F7/bulk_density_small_HCF/24)+1</f>
        <v>1</v>
      </c>
      <c r="H38" s="204" t="s">
        <v>399</v>
      </c>
      <c r="I38" s="205">
        <f>F38*G38*days_per_year_small_HCF</f>
        <v>48.807</v>
      </c>
    </row>
    <row r="39" spans="2:9" ht="12.75">
      <c r="B39" s="200">
        <v>6</v>
      </c>
      <c r="C39" s="201" t="s">
        <v>400</v>
      </c>
      <c r="D39" s="202"/>
      <c r="E39" s="203"/>
      <c r="F39" s="204">
        <f>annual_cost_validation_testing</f>
        <v>45</v>
      </c>
      <c r="G39" s="394"/>
      <c r="H39" s="204" t="s">
        <v>155</v>
      </c>
      <c r="I39" s="205">
        <f>F39</f>
        <v>45</v>
      </c>
    </row>
    <row r="40" spans="2:9" ht="12.75">
      <c r="B40" s="200">
        <v>7</v>
      </c>
      <c r="C40" s="201" t="s">
        <v>275</v>
      </c>
      <c r="D40" s="202"/>
      <c r="E40" s="203"/>
      <c r="F40" s="204">
        <f>F12</f>
        <v>40</v>
      </c>
      <c r="G40" s="394">
        <f>TRUNC(F7/bulk_density_small_HCF/24)+1</f>
        <v>1</v>
      </c>
      <c r="H40" s="204" t="s">
        <v>276</v>
      </c>
      <c r="I40" s="205">
        <f>F40*G40*1/8*days_per_year_small_HCF</f>
        <v>1305</v>
      </c>
    </row>
    <row r="41" spans="2:9" ht="12.75">
      <c r="B41" s="200">
        <v>8</v>
      </c>
      <c r="C41" s="201" t="s">
        <v>277</v>
      </c>
      <c r="D41" s="202"/>
      <c r="E41" s="203"/>
      <c r="F41" s="204"/>
      <c r="G41" s="394">
        <f>maintenance_frax_cap_cost*100</f>
        <v>10</v>
      </c>
      <c r="H41" s="204" t="s">
        <v>279</v>
      </c>
      <c r="I41" s="205">
        <f>I30*maintenance_frax_cap_cost</f>
        <v>79.298459596113</v>
      </c>
    </row>
    <row r="42" spans="2:9" ht="12.75">
      <c r="B42" s="488">
        <v>9</v>
      </c>
      <c r="C42" s="455" t="s">
        <v>414</v>
      </c>
      <c r="D42" s="252"/>
      <c r="E42" s="212"/>
      <c r="F42" s="176">
        <f>F16+F17</f>
        <v>65</v>
      </c>
      <c r="G42" s="489">
        <f>((F7*(1+1/ratio_inf_to_noninf)+F9)*days_per_year_small_HCF+G34*weight_5L_plastic_sharps_container)/1000</f>
        <v>1.9743244615384614</v>
      </c>
      <c r="H42" s="176" t="s">
        <v>72</v>
      </c>
      <c r="I42" s="457">
        <f>F42*G42</f>
        <v>128.33109</v>
      </c>
    </row>
    <row r="43" spans="2:9" ht="13.5" thickBot="1">
      <c r="B43" s="206">
        <v>10</v>
      </c>
      <c r="C43" s="207" t="s">
        <v>280</v>
      </c>
      <c r="D43" s="208"/>
      <c r="E43" s="209"/>
      <c r="F43" s="210">
        <f>F14</f>
        <v>100</v>
      </c>
      <c r="G43" s="395">
        <f>F15</f>
        <v>3</v>
      </c>
      <c r="H43" s="210"/>
      <c r="I43" s="211">
        <f>F43*G43</f>
        <v>300</v>
      </c>
    </row>
    <row r="44" spans="2:9" ht="15.75" thickTop="1">
      <c r="B44" s="30"/>
      <c r="C44" s="31" t="s">
        <v>184</v>
      </c>
      <c r="D44" s="31"/>
      <c r="E44" s="31"/>
      <c r="F44" s="31"/>
      <c r="G44" s="31"/>
      <c r="H44" s="31"/>
      <c r="I44" s="59">
        <f>SUM(I34:I43)</f>
        <v>1951.3937995961128</v>
      </c>
    </row>
    <row r="45" spans="2:9" ht="15.75" thickBot="1">
      <c r="B45" s="33"/>
      <c r="C45" s="34" t="s">
        <v>185</v>
      </c>
      <c r="D45" s="34"/>
      <c r="E45" s="34"/>
      <c r="F45" s="34"/>
      <c r="G45" s="34"/>
      <c r="H45" s="34"/>
      <c r="I45" s="63">
        <f>I44*number_small_HCFs</f>
        <v>1951393.7995961127</v>
      </c>
    </row>
  </sheetData>
  <printOptions/>
  <pageMargins left="0.5" right="0.5" top="1.075" bottom="0.5" header="0.5" footer="0.5"/>
  <pageSetup orientation="portrait" paperSize="9" scale="95" r:id="rId1"/>
</worksheet>
</file>

<file path=xl/worksheets/sheet6.xml><?xml version="1.0" encoding="utf-8"?>
<worksheet xmlns="http://schemas.openxmlformats.org/spreadsheetml/2006/main" xmlns:r="http://schemas.openxmlformats.org/officeDocument/2006/relationships">
  <dimension ref="A2:I89"/>
  <sheetViews>
    <sheetView zoomScaleSheetLayoutView="75" workbookViewId="0" topLeftCell="A1">
      <selection activeCell="A1" sqref="A1"/>
    </sheetView>
  </sheetViews>
  <sheetFormatPr defaultColWidth="9.140625" defaultRowHeight="12.75"/>
  <cols>
    <col min="1" max="1" width="3.421875" style="80" customWidth="1"/>
    <col min="2" max="2" width="4.7109375" style="80" customWidth="1"/>
    <col min="3" max="3" width="8.8515625" style="80" customWidth="1"/>
    <col min="4" max="4" width="16.7109375" style="80" customWidth="1"/>
    <col min="5" max="5" width="8.00390625" style="80" customWidth="1"/>
    <col min="6" max="6" width="12.140625" style="80" customWidth="1"/>
    <col min="7" max="7" width="12.140625" style="80" bestFit="1" customWidth="1"/>
    <col min="8" max="8" width="8.8515625" style="80" customWidth="1"/>
    <col min="9" max="9" width="14.140625" style="80" customWidth="1"/>
    <col min="10" max="10" width="12.00390625" style="80" customWidth="1"/>
    <col min="11" max="16384" width="8.8515625" style="80" customWidth="1"/>
  </cols>
  <sheetData>
    <row r="1" ht="13.5" thickBot="1"/>
    <row r="2" s="414" customFormat="1" ht="18.75" thickBot="1">
      <c r="A2" s="413" t="s">
        <v>51</v>
      </c>
    </row>
    <row r="3" ht="13.5" thickBot="1"/>
    <row r="4" s="416" customFormat="1" ht="16.5" thickBot="1">
      <c r="A4" s="415" t="s">
        <v>218</v>
      </c>
    </row>
    <row r="5" s="66" customFormat="1" ht="16.5" thickBot="1"/>
    <row r="6" spans="2:7" ht="15">
      <c r="B6" s="172" t="s">
        <v>258</v>
      </c>
      <c r="C6" s="54"/>
      <c r="D6" s="55"/>
      <c r="E6" s="173" t="s">
        <v>213</v>
      </c>
      <c r="F6" s="173" t="s">
        <v>214</v>
      </c>
      <c r="G6" s="174" t="s">
        <v>246</v>
      </c>
    </row>
    <row r="7" spans="2:7" ht="12.75">
      <c r="B7" s="110" t="s">
        <v>236</v>
      </c>
      <c r="C7" s="111"/>
      <c r="D7" s="175"/>
      <c r="E7" s="390">
        <v>0.5</v>
      </c>
      <c r="F7" s="177" t="s">
        <v>222</v>
      </c>
      <c r="G7" s="112">
        <v>0.5</v>
      </c>
    </row>
    <row r="8" spans="2:7" ht="12.75">
      <c r="B8" s="110" t="s">
        <v>244</v>
      </c>
      <c r="C8" s="111"/>
      <c r="D8" s="175"/>
      <c r="E8" s="388">
        <v>0.15</v>
      </c>
      <c r="F8" s="178" t="s">
        <v>245</v>
      </c>
      <c r="G8" s="112">
        <v>0.15</v>
      </c>
    </row>
    <row r="9" spans="2:7" ht="12.75">
      <c r="B9" s="110" t="s">
        <v>237</v>
      </c>
      <c r="C9" s="111"/>
      <c r="D9" s="175"/>
      <c r="E9" s="388">
        <v>0.01</v>
      </c>
      <c r="F9" s="178" t="s">
        <v>222</v>
      </c>
      <c r="G9" s="112">
        <v>0.01</v>
      </c>
    </row>
    <row r="10" spans="2:7" ht="12.75">
      <c r="B10" s="110" t="s">
        <v>238</v>
      </c>
      <c r="C10" s="111"/>
      <c r="D10" s="175"/>
      <c r="E10" s="388">
        <v>365</v>
      </c>
      <c r="F10" s="178" t="s">
        <v>239</v>
      </c>
      <c r="G10" s="112">
        <v>365</v>
      </c>
    </row>
    <row r="11" spans="2:7" ht="12.75">
      <c r="B11" s="110" t="s">
        <v>242</v>
      </c>
      <c r="C11" s="111"/>
      <c r="D11" s="175"/>
      <c r="E11" s="388">
        <v>0.5</v>
      </c>
      <c r="F11" s="178" t="s">
        <v>215</v>
      </c>
      <c r="G11" s="112">
        <v>0.5</v>
      </c>
    </row>
    <row r="12" spans="2:7" ht="12.75">
      <c r="B12" s="110" t="s">
        <v>254</v>
      </c>
      <c r="C12" s="111"/>
      <c r="D12" s="175"/>
      <c r="E12" s="388">
        <v>40</v>
      </c>
      <c r="F12" s="178" t="s">
        <v>223</v>
      </c>
      <c r="G12" s="112">
        <v>2</v>
      </c>
    </row>
    <row r="13" spans="2:7" ht="12.75">
      <c r="B13" s="110" t="s">
        <v>138</v>
      </c>
      <c r="C13" s="111"/>
      <c r="D13" s="175"/>
      <c r="E13" s="388">
        <v>80</v>
      </c>
      <c r="F13" s="178" t="s">
        <v>223</v>
      </c>
      <c r="G13" s="112">
        <v>10</v>
      </c>
    </row>
    <row r="14" spans="2:7" ht="12.75">
      <c r="B14" s="110" t="s">
        <v>255</v>
      </c>
      <c r="C14" s="111"/>
      <c r="D14" s="175"/>
      <c r="E14" s="388">
        <v>0.08</v>
      </c>
      <c r="F14" s="178" t="s">
        <v>256</v>
      </c>
      <c r="G14" s="112">
        <v>0.08</v>
      </c>
    </row>
    <row r="15" spans="2:7" ht="12.75">
      <c r="B15" s="110" t="s">
        <v>188</v>
      </c>
      <c r="C15" s="111"/>
      <c r="D15" s="175"/>
      <c r="E15" s="388">
        <v>0.2</v>
      </c>
      <c r="F15" s="178" t="s">
        <v>187</v>
      </c>
      <c r="G15" s="112">
        <f>1/5</f>
        <v>0.2</v>
      </c>
    </row>
    <row r="16" spans="2:7" ht="12.75">
      <c r="B16" s="110" t="s">
        <v>257</v>
      </c>
      <c r="C16" s="111"/>
      <c r="D16" s="175"/>
      <c r="E16" s="388">
        <v>10</v>
      </c>
      <c r="F16" s="178" t="s">
        <v>217</v>
      </c>
      <c r="G16" s="112">
        <v>5</v>
      </c>
    </row>
    <row r="17" spans="2:7" ht="12.75">
      <c r="B17" s="110" t="s">
        <v>411</v>
      </c>
      <c r="C17" s="111"/>
      <c r="D17" s="175"/>
      <c r="E17" s="388">
        <v>15</v>
      </c>
      <c r="F17" s="178" t="s">
        <v>413</v>
      </c>
      <c r="G17" s="112">
        <v>15</v>
      </c>
    </row>
    <row r="18" spans="2:7" ht="12.75">
      <c r="B18" s="110" t="s">
        <v>412</v>
      </c>
      <c r="C18" s="111"/>
      <c r="D18" s="175"/>
      <c r="E18" s="388">
        <v>50</v>
      </c>
      <c r="F18" s="178" t="s">
        <v>413</v>
      </c>
      <c r="G18" s="112">
        <v>50</v>
      </c>
    </row>
    <row r="19" spans="2:7" ht="13.5" thickBot="1">
      <c r="B19" s="179" t="s">
        <v>423</v>
      </c>
      <c r="C19" s="180"/>
      <c r="D19" s="181"/>
      <c r="E19" s="389">
        <v>2.5</v>
      </c>
      <c r="F19" s="183" t="s">
        <v>422</v>
      </c>
      <c r="G19" s="184">
        <v>2.5</v>
      </c>
    </row>
    <row r="20" ht="13.5" thickBot="1"/>
    <row r="21" s="416" customFormat="1" ht="16.5" thickBot="1">
      <c r="A21" s="417" t="s">
        <v>190</v>
      </c>
    </row>
    <row r="22" spans="3:4" s="49" customFormat="1" ht="16.5" thickBot="1">
      <c r="C22" s="67"/>
      <c r="D22" s="67"/>
    </row>
    <row r="23" spans="2:9" s="49" customFormat="1" ht="15.75">
      <c r="B23" s="418" t="s">
        <v>258</v>
      </c>
      <c r="C23" s="419"/>
      <c r="D23" s="419"/>
      <c r="E23" s="419"/>
      <c r="F23" s="420"/>
      <c r="G23" s="421" t="s">
        <v>213</v>
      </c>
      <c r="H23" s="422" t="s">
        <v>214</v>
      </c>
      <c r="I23" s="423"/>
    </row>
    <row r="24" spans="2:9" ht="12.75">
      <c r="B24" s="110" t="s">
        <v>191</v>
      </c>
      <c r="C24" s="111"/>
      <c r="D24" s="111"/>
      <c r="E24" s="111"/>
      <c r="F24" s="212"/>
      <c r="G24" s="176">
        <f>beds_per_medium_HCF*E7</f>
        <v>20</v>
      </c>
      <c r="H24" s="111" t="s">
        <v>192</v>
      </c>
      <c r="I24" s="192"/>
    </row>
    <row r="25" spans="2:9" ht="12.75">
      <c r="B25" s="110" t="s">
        <v>193</v>
      </c>
      <c r="C25" s="111"/>
      <c r="D25" s="111"/>
      <c r="E25" s="111"/>
      <c r="F25" s="175"/>
      <c r="G25" s="213">
        <f>G24/E8</f>
        <v>133.33333333333334</v>
      </c>
      <c r="H25" s="111" t="s">
        <v>194</v>
      </c>
      <c r="I25" s="192"/>
    </row>
    <row r="26" spans="2:9" ht="12.75">
      <c r="B26" s="110" t="s">
        <v>427</v>
      </c>
      <c r="C26" s="111"/>
      <c r="D26" s="111"/>
      <c r="E26" s="111"/>
      <c r="F26" s="175"/>
      <c r="G26" s="213">
        <f>beds_per_medium_HCF*E7/ratio_inf_to_noninf*ratio_chemical_to_noninf</f>
        <v>3.076923076923076</v>
      </c>
      <c r="H26" s="111" t="s">
        <v>192</v>
      </c>
      <c r="I26" s="192"/>
    </row>
    <row r="27" spans="2:9" ht="13.5" thickBot="1">
      <c r="B27" s="179" t="s">
        <v>202</v>
      </c>
      <c r="C27" s="180"/>
      <c r="D27" s="180"/>
      <c r="E27" s="180"/>
      <c r="F27" s="181"/>
      <c r="G27" s="182">
        <f>beds_per_medium_HCF*E9</f>
        <v>0.4</v>
      </c>
      <c r="H27" s="180" t="s">
        <v>192</v>
      </c>
      <c r="I27" s="214"/>
    </row>
    <row r="28" spans="2:9" ht="12.75">
      <c r="B28" s="249" t="s">
        <v>428</v>
      </c>
      <c r="C28" s="111"/>
      <c r="D28" s="111"/>
      <c r="E28" s="111"/>
      <c r="F28" s="111"/>
      <c r="G28" s="111"/>
      <c r="H28" s="111"/>
      <c r="I28" s="215"/>
    </row>
    <row r="29" ht="13.5" thickBot="1"/>
    <row r="30" spans="2:9" ht="15">
      <c r="B30" s="189" t="s">
        <v>465</v>
      </c>
      <c r="C30" s="190"/>
      <c r="D30" s="81"/>
      <c r="E30" s="81"/>
      <c r="F30" s="81"/>
      <c r="G30" s="81"/>
      <c r="H30" s="81"/>
      <c r="I30" s="82"/>
    </row>
    <row r="31" spans="2:9" ht="12.75">
      <c r="B31" s="110"/>
      <c r="C31" s="111"/>
      <c r="D31" s="111"/>
      <c r="E31" s="111"/>
      <c r="F31" s="111"/>
      <c r="G31" s="111"/>
      <c r="H31" s="111"/>
      <c r="I31" s="112"/>
    </row>
    <row r="32" spans="2:9" ht="15">
      <c r="B32" s="228" t="s">
        <v>219</v>
      </c>
      <c r="C32" s="230"/>
      <c r="D32" s="230"/>
      <c r="E32" s="230"/>
      <c r="F32" s="230"/>
      <c r="G32" s="230"/>
      <c r="H32" s="230"/>
      <c r="I32" s="235"/>
    </row>
    <row r="33" spans="2:9" ht="14.25">
      <c r="B33" s="196" t="s">
        <v>220</v>
      </c>
      <c r="C33" s="197" t="s">
        <v>258</v>
      </c>
      <c r="D33" s="68"/>
      <c r="E33" s="69"/>
      <c r="F33" s="198" t="s">
        <v>259</v>
      </c>
      <c r="G33" s="393" t="s">
        <v>260</v>
      </c>
      <c r="H33" s="393" t="s">
        <v>261</v>
      </c>
      <c r="I33" s="199" t="s">
        <v>262</v>
      </c>
    </row>
    <row r="34" spans="2:9" ht="12.75">
      <c r="B34" s="216">
        <v>1</v>
      </c>
      <c r="C34" s="201" t="s">
        <v>195</v>
      </c>
      <c r="D34" s="202"/>
      <c r="E34" s="203"/>
      <c r="F34" s="203">
        <f>cost_50L_bin</f>
        <v>20</v>
      </c>
      <c r="G34" s="396">
        <f>TRUNC(G25/50)+TRUNC(G25/ratio_inf_to_noninf/50)+2</f>
        <v>21</v>
      </c>
      <c r="H34" s="394">
        <f>life_50L_bin</f>
        <v>2</v>
      </c>
      <c r="I34" s="205">
        <f aca="true" t="shared" si="0" ref="I34:I40">((F34*discount_rate)/(1-(1/(1+discount_rate)^H34)))*G34</f>
        <v>219.4965517241379</v>
      </c>
    </row>
    <row r="35" spans="2:9" ht="12.75">
      <c r="B35" s="216">
        <v>2</v>
      </c>
      <c r="C35" s="201" t="s">
        <v>264</v>
      </c>
      <c r="D35" s="202"/>
      <c r="E35" s="203"/>
      <c r="F35" s="203">
        <f>cost_PPE</f>
        <v>35</v>
      </c>
      <c r="G35" s="394">
        <v>2</v>
      </c>
      <c r="H35" s="394">
        <f>life_PPE</f>
        <v>2</v>
      </c>
      <c r="I35" s="205">
        <f t="shared" si="0"/>
        <v>36.58275862068965</v>
      </c>
    </row>
    <row r="36" spans="2:9" ht="12.75">
      <c r="B36" s="216">
        <v>3</v>
      </c>
      <c r="C36" s="201" t="s">
        <v>197</v>
      </c>
      <c r="D36" s="202"/>
      <c r="E36" s="203"/>
      <c r="F36" s="203">
        <f>cost_240L_wheeled_bin</f>
        <v>45</v>
      </c>
      <c r="G36" s="394">
        <v>1</v>
      </c>
      <c r="H36" s="394">
        <f>life_240L_wheeled_bin</f>
        <v>4</v>
      </c>
      <c r="I36" s="205">
        <f t="shared" si="0"/>
        <v>12.10621703368872</v>
      </c>
    </row>
    <row r="37" spans="2:9" ht="12.75">
      <c r="B37" s="216">
        <v>4</v>
      </c>
      <c r="C37" s="201" t="s">
        <v>198</v>
      </c>
      <c r="D37" s="202"/>
      <c r="E37" s="203"/>
      <c r="F37" s="203">
        <f>cost_storage_area</f>
        <v>1000</v>
      </c>
      <c r="G37" s="394">
        <v>1</v>
      </c>
      <c r="H37" s="394">
        <f>life_storage_area</f>
        <v>10</v>
      </c>
      <c r="I37" s="205">
        <f t="shared" si="0"/>
        <v>117.23050660515962</v>
      </c>
    </row>
    <row r="38" spans="2:9" ht="12.75">
      <c r="B38" s="216">
        <v>5</v>
      </c>
      <c r="C38" s="201" t="s">
        <v>436</v>
      </c>
      <c r="D38" s="202"/>
      <c r="E38" s="203"/>
      <c r="F38" s="203">
        <f>cost_medium_autoclave</f>
        <v>40000</v>
      </c>
      <c r="G38" s="394">
        <v>1</v>
      </c>
      <c r="H38" s="394">
        <f>life_medium_autoclave</f>
        <v>10</v>
      </c>
      <c r="I38" s="205">
        <f t="shared" si="0"/>
        <v>4689.220264206385</v>
      </c>
    </row>
    <row r="39" spans="2:9" ht="12.75">
      <c r="B39" s="216">
        <v>6</v>
      </c>
      <c r="C39" s="201" t="s">
        <v>199</v>
      </c>
      <c r="D39" s="202"/>
      <c r="E39" s="203"/>
      <c r="F39" s="203">
        <f>cost_shelter_treatment_system</f>
        <v>2000</v>
      </c>
      <c r="G39" s="394">
        <v>1</v>
      </c>
      <c r="H39" s="394">
        <f>life_shelter_treatment_system</f>
        <v>10</v>
      </c>
      <c r="I39" s="205">
        <f t="shared" si="0"/>
        <v>234.46101321031924</v>
      </c>
    </row>
    <row r="40" spans="2:9" ht="13.5" thickBot="1">
      <c r="B40" s="218">
        <v>7</v>
      </c>
      <c r="C40" s="207" t="s">
        <v>398</v>
      </c>
      <c r="D40" s="208"/>
      <c r="E40" s="209"/>
      <c r="F40" s="210">
        <f>cost_incubator_kit</f>
        <v>200</v>
      </c>
      <c r="G40" s="395">
        <v>1</v>
      </c>
      <c r="H40" s="395">
        <f>life_incubator_kit</f>
        <v>5</v>
      </c>
      <c r="I40" s="211">
        <f t="shared" si="0"/>
        <v>43.67091428011524</v>
      </c>
    </row>
    <row r="41" spans="2:9" ht="15.75" thickTop="1">
      <c r="B41" s="30"/>
      <c r="C41" s="31" t="s">
        <v>200</v>
      </c>
      <c r="D41" s="31"/>
      <c r="E41" s="31"/>
      <c r="F41" s="31"/>
      <c r="G41" s="31"/>
      <c r="H41" s="31"/>
      <c r="I41" s="59">
        <f>SUM(I34:I40)</f>
        <v>5352.768225680496</v>
      </c>
    </row>
    <row r="42" spans="2:9" ht="15">
      <c r="B42" s="30"/>
      <c r="C42" s="31" t="s">
        <v>97</v>
      </c>
      <c r="D42" s="31"/>
      <c r="E42" s="31"/>
      <c r="F42" s="31"/>
      <c r="G42" s="31"/>
      <c r="H42" s="31"/>
      <c r="I42" s="59">
        <f>I41*number_medium_HCFs</f>
        <v>535276.8225680495</v>
      </c>
    </row>
    <row r="43" spans="2:9" ht="15">
      <c r="B43" s="228" t="s">
        <v>221</v>
      </c>
      <c r="C43" s="230"/>
      <c r="D43" s="230"/>
      <c r="E43" s="230"/>
      <c r="F43" s="230"/>
      <c r="G43" s="230"/>
      <c r="H43" s="230"/>
      <c r="I43" s="235"/>
    </row>
    <row r="44" spans="2:9" ht="14.25">
      <c r="B44" s="196" t="s">
        <v>220</v>
      </c>
      <c r="C44" s="197" t="s">
        <v>258</v>
      </c>
      <c r="D44" s="68"/>
      <c r="E44" s="69"/>
      <c r="F44" s="198" t="s">
        <v>259</v>
      </c>
      <c r="G44" s="393" t="s">
        <v>260</v>
      </c>
      <c r="H44" s="198" t="s">
        <v>149</v>
      </c>
      <c r="I44" s="199" t="s">
        <v>262</v>
      </c>
    </row>
    <row r="45" spans="2:9" ht="12.75">
      <c r="B45" s="216">
        <v>1</v>
      </c>
      <c r="C45" s="201" t="s">
        <v>415</v>
      </c>
      <c r="D45" s="202"/>
      <c r="E45" s="203"/>
      <c r="F45" s="203">
        <f>cost_5L_plastic_sharps_container</f>
        <v>3.5</v>
      </c>
      <c r="G45" s="396">
        <f>G27/weight_syringe/capacity_safety_box*E10</f>
        <v>146</v>
      </c>
      <c r="H45" s="204"/>
      <c r="I45" s="205">
        <f>F45*G45</f>
        <v>511</v>
      </c>
    </row>
    <row r="46" spans="2:9" ht="12.75">
      <c r="B46" s="216">
        <v>2</v>
      </c>
      <c r="C46" s="201" t="s">
        <v>226</v>
      </c>
      <c r="D46" s="202"/>
      <c r="E46" s="203"/>
      <c r="F46" s="203">
        <f>cost_50L_plastic_bag</f>
        <v>0.12</v>
      </c>
      <c r="G46" s="394">
        <f>(TRUNC(G25/50)+TRUNC(G25/ratio_inf_to_noninf/50)+2)*E10</f>
        <v>7665</v>
      </c>
      <c r="H46" s="204"/>
      <c r="I46" s="205">
        <f>F46*G46</f>
        <v>919.8</v>
      </c>
    </row>
    <row r="47" spans="2:9" ht="12.75">
      <c r="B47" s="216">
        <v>3</v>
      </c>
      <c r="C47" s="201" t="s">
        <v>270</v>
      </c>
      <c r="D47" s="202"/>
      <c r="E47" s="203"/>
      <c r="F47" s="203">
        <f>E14</f>
        <v>0.08</v>
      </c>
      <c r="G47" s="394">
        <f>(TRUNC(G25/260)+1)*kWh_per_cycle_medium_autoclave</f>
        <v>1.5</v>
      </c>
      <c r="H47" s="204" t="s">
        <v>440</v>
      </c>
      <c r="I47" s="205">
        <f>F47*G47*E10</f>
        <v>43.8</v>
      </c>
    </row>
    <row r="48" spans="2:9" ht="12.75">
      <c r="B48" s="216">
        <v>4</v>
      </c>
      <c r="C48" s="201" t="s">
        <v>272</v>
      </c>
      <c r="D48" s="202"/>
      <c r="E48" s="203"/>
      <c r="F48" s="203">
        <f>Cost_water_sewage</f>
        <v>0.5</v>
      </c>
      <c r="G48" s="394">
        <f>(TRUNC(G25/100)+1)*water_use_51Lautoclave</f>
        <v>6</v>
      </c>
      <c r="H48" s="204" t="s">
        <v>208</v>
      </c>
      <c r="I48" s="205">
        <f>F48/1000*G48*E10</f>
        <v>1.095</v>
      </c>
    </row>
    <row r="49" spans="2:9" ht="12.75">
      <c r="B49" s="216">
        <v>5</v>
      </c>
      <c r="C49" s="462" t="s">
        <v>394</v>
      </c>
      <c r="D49" s="463"/>
      <c r="E49" s="464"/>
      <c r="F49" s="464">
        <f>cost_per_autoclave_test_indicator</f>
        <v>0.187</v>
      </c>
      <c r="G49" s="465">
        <v>1</v>
      </c>
      <c r="H49" s="466" t="s">
        <v>395</v>
      </c>
      <c r="I49" s="467">
        <f>F49*G49*E10</f>
        <v>68.255</v>
      </c>
    </row>
    <row r="50" spans="2:9" ht="12.75">
      <c r="B50" s="216">
        <v>6</v>
      </c>
      <c r="C50" s="462" t="s">
        <v>400</v>
      </c>
      <c r="D50" s="463"/>
      <c r="E50" s="464"/>
      <c r="F50" s="204">
        <f>annual_cost_validation_testing</f>
        <v>45</v>
      </c>
      <c r="G50" s="394"/>
      <c r="H50" s="204" t="s">
        <v>155</v>
      </c>
      <c r="I50" s="205">
        <f>F50</f>
        <v>45</v>
      </c>
    </row>
    <row r="51" spans="2:9" ht="12.75">
      <c r="B51" s="216">
        <v>7</v>
      </c>
      <c r="C51" s="201" t="s">
        <v>137</v>
      </c>
      <c r="D51" s="202"/>
      <c r="E51" s="203"/>
      <c r="F51" s="203">
        <f>E12</f>
        <v>40</v>
      </c>
      <c r="G51" s="394">
        <v>0.5</v>
      </c>
      <c r="H51" s="204" t="s">
        <v>204</v>
      </c>
      <c r="I51" s="205">
        <f>F51*G51*E10</f>
        <v>7300</v>
      </c>
    </row>
    <row r="52" spans="2:9" ht="12.75">
      <c r="B52" s="216">
        <v>8</v>
      </c>
      <c r="C52" s="201" t="s">
        <v>139</v>
      </c>
      <c r="D52" s="202"/>
      <c r="E52" s="203"/>
      <c r="F52" s="203">
        <f>E13</f>
        <v>80</v>
      </c>
      <c r="G52" s="394">
        <v>0.25</v>
      </c>
      <c r="H52" s="204" t="s">
        <v>140</v>
      </c>
      <c r="I52" s="205">
        <f>F52*G52*E10</f>
        <v>7300</v>
      </c>
    </row>
    <row r="53" spans="2:9" ht="12.75">
      <c r="B53" s="216">
        <v>9</v>
      </c>
      <c r="C53" s="201" t="s">
        <v>277</v>
      </c>
      <c r="D53" s="202"/>
      <c r="E53" s="203"/>
      <c r="F53" s="203"/>
      <c r="G53" s="394">
        <f>maintenance_frax_cap_cost*100</f>
        <v>10</v>
      </c>
      <c r="H53" s="204" t="s">
        <v>279</v>
      </c>
      <c r="I53" s="205">
        <f>I41*maintenance_frax_cap_cost</f>
        <v>535.2768225680496</v>
      </c>
    </row>
    <row r="54" spans="2:9" ht="12.75">
      <c r="B54" s="251">
        <v>10</v>
      </c>
      <c r="C54" s="455" t="s">
        <v>414</v>
      </c>
      <c r="D54" s="252"/>
      <c r="E54" s="212"/>
      <c r="F54" s="176">
        <f>E17+E18</f>
        <v>65</v>
      </c>
      <c r="G54" s="456">
        <f>((E7*(1+1/ratio_inf_to_noninf)+E9)*beds_per_medium_HCF*days_per_year_small_HCF+G45*weight_5L_plastic_sharps_container)/1000</f>
        <v>39.498969230769234</v>
      </c>
      <c r="H54" s="176" t="s">
        <v>72</v>
      </c>
      <c r="I54" s="457">
        <f>F54*G54</f>
        <v>2567.433</v>
      </c>
    </row>
    <row r="55" spans="2:9" ht="12.75">
      <c r="B55" s="251">
        <v>11</v>
      </c>
      <c r="C55" s="455" t="s">
        <v>430</v>
      </c>
      <c r="D55" s="252"/>
      <c r="E55" s="212"/>
      <c r="F55" s="212">
        <f>E19</f>
        <v>2.5</v>
      </c>
      <c r="G55" s="456">
        <f>G26*E10</f>
        <v>1123.0769230769229</v>
      </c>
      <c r="H55" s="176" t="s">
        <v>74</v>
      </c>
      <c r="I55" s="457">
        <f>F55*G55</f>
        <v>2807.692307692307</v>
      </c>
    </row>
    <row r="56" spans="2:9" ht="13.5" thickBot="1">
      <c r="B56" s="218">
        <v>12</v>
      </c>
      <c r="C56" s="207" t="s">
        <v>280</v>
      </c>
      <c r="D56" s="208"/>
      <c r="E56" s="209"/>
      <c r="F56" s="209">
        <f>E16</f>
        <v>10</v>
      </c>
      <c r="G56" s="395">
        <f>beds_per_medium_HCF*E15</f>
        <v>8</v>
      </c>
      <c r="H56" s="210"/>
      <c r="I56" s="211">
        <f>F56*G56</f>
        <v>80</v>
      </c>
    </row>
    <row r="57" spans="2:9" ht="15.75" thickTop="1">
      <c r="B57" s="30"/>
      <c r="C57" s="31" t="s">
        <v>142</v>
      </c>
      <c r="D57" s="31"/>
      <c r="E57" s="31"/>
      <c r="F57" s="31"/>
      <c r="G57" s="31"/>
      <c r="H57" s="31"/>
      <c r="I57" s="59">
        <f>SUM(I45:I56)</f>
        <v>22179.35213026036</v>
      </c>
    </row>
    <row r="58" spans="2:9" ht="15.75" thickBot="1">
      <c r="B58" s="33"/>
      <c r="C58" s="34" t="s">
        <v>143</v>
      </c>
      <c r="D58" s="34"/>
      <c r="E58" s="34"/>
      <c r="F58" s="34"/>
      <c r="G58" s="34"/>
      <c r="H58" s="34"/>
      <c r="I58" s="514">
        <f>I57*number_medium_HCFs</f>
        <v>2217935.213026036</v>
      </c>
    </row>
    <row r="59" spans="2:9" s="219" customFormat="1" ht="15">
      <c r="B59" s="20"/>
      <c r="C59" s="20"/>
      <c r="D59" s="20"/>
      <c r="E59" s="20"/>
      <c r="F59" s="20"/>
      <c r="G59" s="20"/>
      <c r="H59" s="20"/>
      <c r="I59" s="64"/>
    </row>
    <row r="60" ht="13.5" thickBot="1"/>
    <row r="61" spans="2:9" ht="15">
      <c r="B61" s="189" t="s">
        <v>431</v>
      </c>
      <c r="C61" s="190"/>
      <c r="D61" s="81"/>
      <c r="E61" s="81"/>
      <c r="F61" s="81"/>
      <c r="G61" s="81"/>
      <c r="H61" s="81"/>
      <c r="I61" s="82"/>
    </row>
    <row r="62" spans="2:9" ht="12.75">
      <c r="B62" s="110"/>
      <c r="C62" s="111"/>
      <c r="D62" s="111"/>
      <c r="E62" s="111"/>
      <c r="F62" s="111"/>
      <c r="G62" s="111"/>
      <c r="H62" s="111"/>
      <c r="I62" s="112"/>
    </row>
    <row r="63" spans="2:9" ht="15">
      <c r="B63" s="228" t="s">
        <v>219</v>
      </c>
      <c r="C63" s="230"/>
      <c r="D63" s="230"/>
      <c r="E63" s="230"/>
      <c r="F63" s="230"/>
      <c r="G63" s="230"/>
      <c r="H63" s="230"/>
      <c r="I63" s="235"/>
    </row>
    <row r="64" spans="2:9" ht="14.25">
      <c r="B64" s="196" t="s">
        <v>220</v>
      </c>
      <c r="C64" s="197" t="s">
        <v>258</v>
      </c>
      <c r="D64" s="68"/>
      <c r="E64" s="69"/>
      <c r="F64" s="198" t="s">
        <v>259</v>
      </c>
      <c r="G64" s="393" t="s">
        <v>260</v>
      </c>
      <c r="H64" s="393" t="s">
        <v>261</v>
      </c>
      <c r="I64" s="199" t="s">
        <v>262</v>
      </c>
    </row>
    <row r="65" spans="2:9" ht="12.75">
      <c r="B65" s="216">
        <v>1</v>
      </c>
      <c r="C65" s="201" t="s">
        <v>195</v>
      </c>
      <c r="D65" s="202"/>
      <c r="E65" s="203"/>
      <c r="F65" s="203">
        <f>cost_50L_bin</f>
        <v>20</v>
      </c>
      <c r="G65" s="396">
        <f>TRUNC(G25/50)+TRUNC(G25/ratio_inf_to_noninf/50)+2</f>
        <v>21</v>
      </c>
      <c r="H65" s="394">
        <f>life_50L_bin</f>
        <v>2</v>
      </c>
      <c r="I65" s="205">
        <f aca="true" t="shared" si="1" ref="I65:I71">((F65*discount_rate)/(1-(1/(1+discount_rate)^H65)))*G65</f>
        <v>219.4965517241379</v>
      </c>
    </row>
    <row r="66" spans="2:9" ht="12.75">
      <c r="B66" s="216">
        <v>2</v>
      </c>
      <c r="C66" s="201" t="s">
        <v>264</v>
      </c>
      <c r="D66" s="202"/>
      <c r="E66" s="203"/>
      <c r="F66" s="203">
        <f>cost_PPE</f>
        <v>35</v>
      </c>
      <c r="G66" s="394">
        <v>2</v>
      </c>
      <c r="H66" s="394">
        <f>life_PPE</f>
        <v>2</v>
      </c>
      <c r="I66" s="205">
        <f t="shared" si="1"/>
        <v>36.58275862068965</v>
      </c>
    </row>
    <row r="67" spans="2:9" ht="12.75">
      <c r="B67" s="216">
        <v>3</v>
      </c>
      <c r="C67" s="201" t="s">
        <v>197</v>
      </c>
      <c r="D67" s="202"/>
      <c r="E67" s="203"/>
      <c r="F67" s="203">
        <f>cost_240L_wheeled_bin</f>
        <v>45</v>
      </c>
      <c r="G67" s="394">
        <v>1</v>
      </c>
      <c r="H67" s="394">
        <f>life_240L_wheeled_bin</f>
        <v>4</v>
      </c>
      <c r="I67" s="205">
        <f t="shared" si="1"/>
        <v>12.10621703368872</v>
      </c>
    </row>
    <row r="68" spans="2:9" ht="12.75">
      <c r="B68" s="216">
        <v>4</v>
      </c>
      <c r="C68" s="201" t="s">
        <v>198</v>
      </c>
      <c r="D68" s="202"/>
      <c r="E68" s="203"/>
      <c r="F68" s="203">
        <f>cost_storage_area</f>
        <v>1000</v>
      </c>
      <c r="G68" s="394">
        <v>1</v>
      </c>
      <c r="H68" s="394">
        <f>life_storage_area</f>
        <v>10</v>
      </c>
      <c r="I68" s="205">
        <f t="shared" si="1"/>
        <v>117.23050660515962</v>
      </c>
    </row>
    <row r="69" spans="2:9" ht="12.75">
      <c r="B69" s="216">
        <v>5</v>
      </c>
      <c r="C69" s="201" t="s">
        <v>432</v>
      </c>
      <c r="D69" s="202"/>
      <c r="E69" s="203"/>
      <c r="F69" s="203">
        <f>cost_medium_microwave</f>
        <v>67000</v>
      </c>
      <c r="G69" s="394">
        <v>1</v>
      </c>
      <c r="H69" s="394">
        <f>life_medium_microwave</f>
        <v>10</v>
      </c>
      <c r="I69" s="205">
        <f t="shared" si="1"/>
        <v>7854.443942545694</v>
      </c>
    </row>
    <row r="70" spans="2:9" ht="12.75">
      <c r="B70" s="216">
        <v>6</v>
      </c>
      <c r="C70" s="201" t="s">
        <v>199</v>
      </c>
      <c r="D70" s="202"/>
      <c r="E70" s="203"/>
      <c r="F70" s="203">
        <f>cost_shelter_treatment_system</f>
        <v>2000</v>
      </c>
      <c r="G70" s="394">
        <v>1</v>
      </c>
      <c r="H70" s="394">
        <f>life_shelter_treatment_system</f>
        <v>10</v>
      </c>
      <c r="I70" s="205">
        <f t="shared" si="1"/>
        <v>234.46101321031924</v>
      </c>
    </row>
    <row r="71" spans="2:9" ht="13.5" thickBot="1">
      <c r="B71" s="218">
        <v>7</v>
      </c>
      <c r="C71" s="207" t="s">
        <v>398</v>
      </c>
      <c r="D71" s="208"/>
      <c r="E71" s="209"/>
      <c r="F71" s="210">
        <f>cost_incubator_kit</f>
        <v>200</v>
      </c>
      <c r="G71" s="395">
        <v>1</v>
      </c>
      <c r="H71" s="395">
        <f>life_incubator_kit</f>
        <v>5</v>
      </c>
      <c r="I71" s="211">
        <f t="shared" si="1"/>
        <v>43.67091428011524</v>
      </c>
    </row>
    <row r="72" spans="2:9" ht="15.75" thickTop="1">
      <c r="B72" s="30"/>
      <c r="C72" s="31" t="s">
        <v>200</v>
      </c>
      <c r="D72" s="31"/>
      <c r="E72" s="31"/>
      <c r="F72" s="31"/>
      <c r="G72" s="31"/>
      <c r="H72" s="31"/>
      <c r="I72" s="59">
        <f>SUM(I65:I71)</f>
        <v>8517.991904019804</v>
      </c>
    </row>
    <row r="73" spans="2:9" ht="15">
      <c r="B73" s="30"/>
      <c r="C73" s="31" t="s">
        <v>201</v>
      </c>
      <c r="D73" s="31"/>
      <c r="E73" s="31"/>
      <c r="F73" s="31"/>
      <c r="G73" s="31"/>
      <c r="H73" s="31"/>
      <c r="I73" s="59">
        <f>I72*number_medium_HCFs</f>
        <v>851799.1904019804</v>
      </c>
    </row>
    <row r="74" spans="2:9" ht="15">
      <c r="B74" s="228" t="s">
        <v>221</v>
      </c>
      <c r="C74" s="230"/>
      <c r="D74" s="230"/>
      <c r="E74" s="230"/>
      <c r="F74" s="230"/>
      <c r="G74" s="230"/>
      <c r="H74" s="230"/>
      <c r="I74" s="235"/>
    </row>
    <row r="75" spans="2:9" ht="14.25">
      <c r="B75" s="196" t="s">
        <v>220</v>
      </c>
      <c r="C75" s="197" t="s">
        <v>258</v>
      </c>
      <c r="D75" s="68"/>
      <c r="E75" s="69"/>
      <c r="F75" s="198" t="s">
        <v>259</v>
      </c>
      <c r="G75" s="393" t="s">
        <v>260</v>
      </c>
      <c r="H75" s="198" t="s">
        <v>149</v>
      </c>
      <c r="I75" s="199" t="s">
        <v>262</v>
      </c>
    </row>
    <row r="76" spans="2:9" ht="12.75">
      <c r="B76" s="216">
        <v>1</v>
      </c>
      <c r="C76" s="201" t="s">
        <v>415</v>
      </c>
      <c r="D76" s="202"/>
      <c r="E76" s="203"/>
      <c r="F76" s="203">
        <f>cost_5L_plastic_sharps_container</f>
        <v>3.5</v>
      </c>
      <c r="G76" s="396">
        <f>G27/weight_syringe/capacity_safety_box*E10</f>
        <v>146</v>
      </c>
      <c r="H76" s="204"/>
      <c r="I76" s="205">
        <f>F76*G76</f>
        <v>511</v>
      </c>
    </row>
    <row r="77" spans="2:9" ht="12.75">
      <c r="B77" s="216">
        <v>2</v>
      </c>
      <c r="C77" s="201" t="s">
        <v>226</v>
      </c>
      <c r="D77" s="202"/>
      <c r="E77" s="203"/>
      <c r="F77" s="203">
        <f>cost_50L_plastic_bag</f>
        <v>0.12</v>
      </c>
      <c r="G77" s="394">
        <f>(TRUNC(G25/50)+TRUNC(G25/ratio_inf_to_noninf/50)+2)*E10</f>
        <v>7665</v>
      </c>
      <c r="H77" s="204"/>
      <c r="I77" s="205">
        <f>F77*G77</f>
        <v>919.8</v>
      </c>
    </row>
    <row r="78" spans="2:9" ht="12.75">
      <c r="B78" s="216">
        <v>3</v>
      </c>
      <c r="C78" s="201" t="s">
        <v>270</v>
      </c>
      <c r="D78" s="202"/>
      <c r="E78" s="203"/>
      <c r="F78" s="203">
        <f>E14</f>
        <v>0.08</v>
      </c>
      <c r="G78" s="394">
        <f>(TRUNC(G25/103)+1)*kWh_per_cycle_medium_microwave</f>
        <v>3</v>
      </c>
      <c r="H78" s="204" t="s">
        <v>276</v>
      </c>
      <c r="I78" s="205">
        <f>G78*F78*E10</f>
        <v>87.6</v>
      </c>
    </row>
    <row r="79" spans="2:9" ht="12.75">
      <c r="B79" s="216">
        <v>4</v>
      </c>
      <c r="C79" s="201" t="s">
        <v>272</v>
      </c>
      <c r="D79" s="202"/>
      <c r="E79" s="203"/>
      <c r="F79" s="203">
        <f>Cost_water_sewage</f>
        <v>0.5</v>
      </c>
      <c r="G79" s="394">
        <f>(TRUNC(G25/103)+1)*water_use_medium_microwave</f>
        <v>20</v>
      </c>
      <c r="H79" s="204" t="s">
        <v>108</v>
      </c>
      <c r="I79" s="205">
        <f>F79/1000*G79*E10</f>
        <v>3.65</v>
      </c>
    </row>
    <row r="80" spans="2:9" ht="12.75">
      <c r="B80" s="216">
        <v>5</v>
      </c>
      <c r="C80" s="462" t="s">
        <v>400</v>
      </c>
      <c r="D80" s="463"/>
      <c r="E80" s="464"/>
      <c r="F80" s="204">
        <f>annual_cost_validation_testing</f>
        <v>45</v>
      </c>
      <c r="G80" s="394"/>
      <c r="H80" s="204" t="s">
        <v>155</v>
      </c>
      <c r="I80" s="205">
        <f>F80</f>
        <v>45</v>
      </c>
    </row>
    <row r="81" spans="2:9" ht="12.75">
      <c r="B81" s="216">
        <v>6</v>
      </c>
      <c r="C81" s="201" t="s">
        <v>137</v>
      </c>
      <c r="D81" s="202"/>
      <c r="E81" s="203"/>
      <c r="F81" s="203">
        <f>E12</f>
        <v>40</v>
      </c>
      <c r="G81" s="394">
        <v>0.5</v>
      </c>
      <c r="H81" s="204" t="s">
        <v>204</v>
      </c>
      <c r="I81" s="205">
        <f>F81*G81*E10</f>
        <v>7300</v>
      </c>
    </row>
    <row r="82" spans="2:9" ht="12.75">
      <c r="B82" s="216">
        <v>7</v>
      </c>
      <c r="C82" s="201" t="s">
        <v>139</v>
      </c>
      <c r="D82" s="202"/>
      <c r="E82" s="203"/>
      <c r="F82" s="203">
        <f>E13</f>
        <v>80</v>
      </c>
      <c r="G82" s="394">
        <v>0.25</v>
      </c>
      <c r="H82" s="204" t="s">
        <v>140</v>
      </c>
      <c r="I82" s="205">
        <f>F82*G82*E10</f>
        <v>7300</v>
      </c>
    </row>
    <row r="83" spans="2:9" ht="12.75">
      <c r="B83" s="216">
        <v>8</v>
      </c>
      <c r="C83" s="201" t="s">
        <v>277</v>
      </c>
      <c r="D83" s="202"/>
      <c r="E83" s="203"/>
      <c r="F83" s="203"/>
      <c r="G83" s="394">
        <f>maintenance_frax_cap_cost*100</f>
        <v>10</v>
      </c>
      <c r="H83" s="204" t="s">
        <v>279</v>
      </c>
      <c r="I83" s="205">
        <f>I72*maintenance_frax_cap_cost</f>
        <v>851.7991904019805</v>
      </c>
    </row>
    <row r="84" spans="2:9" ht="12.75">
      <c r="B84" s="251">
        <v>9</v>
      </c>
      <c r="C84" s="455" t="s">
        <v>414</v>
      </c>
      <c r="D84" s="252"/>
      <c r="E84" s="212"/>
      <c r="F84" s="176">
        <f>E17+E18</f>
        <v>65</v>
      </c>
      <c r="G84" s="456">
        <f>((E7*(1+1/ratio_inf_to_noninf)+E9)*beds_per_medium_HCF*days_per_year_small_HCF+G45*weight_5L_plastic_sharps_container)/1000</f>
        <v>39.498969230769234</v>
      </c>
      <c r="H84" s="176" t="s">
        <v>72</v>
      </c>
      <c r="I84" s="457">
        <f>F84*G84</f>
        <v>2567.433</v>
      </c>
    </row>
    <row r="85" spans="2:9" ht="12.75">
      <c r="B85" s="251">
        <v>10</v>
      </c>
      <c r="C85" s="455" t="s">
        <v>430</v>
      </c>
      <c r="D85" s="252"/>
      <c r="E85" s="212"/>
      <c r="F85" s="212">
        <f>E19</f>
        <v>2.5</v>
      </c>
      <c r="G85" s="456">
        <f>G26*E10</f>
        <v>1123.0769230769229</v>
      </c>
      <c r="H85" s="176" t="s">
        <v>74</v>
      </c>
      <c r="I85" s="457">
        <f>F85*G85</f>
        <v>2807.692307692307</v>
      </c>
    </row>
    <row r="86" spans="2:9" ht="13.5" thickBot="1">
      <c r="B86" s="218">
        <v>11</v>
      </c>
      <c r="C86" s="207" t="s">
        <v>280</v>
      </c>
      <c r="D86" s="208"/>
      <c r="E86" s="209"/>
      <c r="F86" s="209">
        <f>E16</f>
        <v>10</v>
      </c>
      <c r="G86" s="395">
        <f>beds_per_medium_HCF*E15</f>
        <v>8</v>
      </c>
      <c r="H86" s="210"/>
      <c r="I86" s="211">
        <f>F86*G86</f>
        <v>80</v>
      </c>
    </row>
    <row r="87" spans="2:9" ht="15.75" thickTop="1">
      <c r="B87" s="30"/>
      <c r="C87" s="31" t="s">
        <v>142</v>
      </c>
      <c r="D87" s="31"/>
      <c r="E87" s="31"/>
      <c r="F87" s="31"/>
      <c r="G87" s="31"/>
      <c r="H87" s="31"/>
      <c r="I87" s="59">
        <f>SUM(I76:I86)</f>
        <v>22473.97449809429</v>
      </c>
    </row>
    <row r="88" spans="2:9" ht="15.75" thickBot="1">
      <c r="B88" s="33"/>
      <c r="C88" s="34" t="s">
        <v>143</v>
      </c>
      <c r="D88" s="34"/>
      <c r="E88" s="34"/>
      <c r="F88" s="34"/>
      <c r="G88" s="34"/>
      <c r="H88" s="34"/>
      <c r="I88" s="514">
        <f>I87*number_medium_HCFs</f>
        <v>2247397.449809429</v>
      </c>
    </row>
    <row r="89" spans="2:9" s="219" customFormat="1" ht="15">
      <c r="B89" s="20"/>
      <c r="C89" s="20"/>
      <c r="D89" s="20"/>
      <c r="E89" s="20"/>
      <c r="F89" s="20"/>
      <c r="G89" s="20"/>
      <c r="H89" s="20"/>
      <c r="I89" s="64"/>
    </row>
    <row r="90" s="219" customFormat="1" ht="12.75"/>
  </sheetData>
  <printOptions/>
  <pageMargins left="0.5" right="0.5" top="1.075" bottom="0.5" header="0.5" footer="0.5"/>
  <pageSetup orientation="portrait" paperSize="9" scale="95" r:id="rId1"/>
  <rowBreaks count="1" manualBreakCount="1">
    <brk id="42" max="8" man="1"/>
  </rowBreaks>
  <ignoredErrors>
    <ignoredError sqref="G25" formula="1"/>
  </ignoredErrors>
</worksheet>
</file>

<file path=xl/worksheets/sheet7.xml><?xml version="1.0" encoding="utf-8"?>
<worksheet xmlns="http://schemas.openxmlformats.org/spreadsheetml/2006/main" xmlns:r="http://schemas.openxmlformats.org/officeDocument/2006/relationships">
  <dimension ref="A1:T157"/>
  <sheetViews>
    <sheetView workbookViewId="0" topLeftCell="A1">
      <selection activeCell="A1" sqref="A1"/>
    </sheetView>
  </sheetViews>
  <sheetFormatPr defaultColWidth="9.140625" defaultRowHeight="12.75"/>
  <cols>
    <col min="1" max="1" width="2.140625" style="80" customWidth="1"/>
    <col min="2" max="2" width="4.421875" style="80" customWidth="1"/>
    <col min="3" max="3" width="8.8515625" style="80" customWidth="1"/>
    <col min="4" max="4" width="18.8515625" style="80" customWidth="1"/>
    <col min="5" max="5" width="6.8515625" style="80" customWidth="1"/>
    <col min="6" max="6" width="13.140625" style="80" customWidth="1"/>
    <col min="7" max="7" width="8.00390625" style="80" customWidth="1"/>
    <col min="8" max="8" width="18.421875" style="80" customWidth="1"/>
    <col min="9" max="9" width="14.00390625" style="171" customWidth="1"/>
    <col min="10" max="10" width="1.8515625" style="80" customWidth="1"/>
    <col min="11" max="11" width="2.00390625" style="80" customWidth="1"/>
    <col min="12" max="12" width="5.140625" style="80" customWidth="1"/>
    <col min="13" max="14" width="8.8515625" style="80" customWidth="1"/>
    <col min="15" max="15" width="17.7109375" style="80" customWidth="1"/>
    <col min="16" max="17" width="8.8515625" style="80" customWidth="1"/>
    <col min="18" max="18" width="18.8515625" style="80" bestFit="1" customWidth="1"/>
    <col min="19" max="19" width="14.00390625" style="80" bestFit="1" customWidth="1"/>
    <col min="20" max="16384" width="8.8515625" style="80" customWidth="1"/>
  </cols>
  <sheetData>
    <row r="1" s="78" customFormat="1" ht="13.5" thickBot="1">
      <c r="I1" s="170"/>
    </row>
    <row r="2" spans="1:19" s="131" customFormat="1" ht="18.75" thickBot="1">
      <c r="A2" s="563" t="s">
        <v>46</v>
      </c>
      <c r="I2" s="132"/>
      <c r="J2" s="563"/>
      <c r="L2" s="131" t="s">
        <v>46</v>
      </c>
      <c r="S2" s="565"/>
    </row>
    <row r="3" ht="13.5" thickBot="1"/>
    <row r="4" spans="1:19" s="19" customFormat="1" ht="16.5" thickBot="1">
      <c r="A4" s="564" t="s">
        <v>218</v>
      </c>
      <c r="I4" s="60"/>
      <c r="S4" s="566"/>
    </row>
    <row r="5" s="8" customFormat="1" ht="13.5" thickBot="1">
      <c r="I5" s="61"/>
    </row>
    <row r="6" spans="2:7" ht="15">
      <c r="B6" s="172" t="s">
        <v>258</v>
      </c>
      <c r="C6" s="54"/>
      <c r="D6" s="55"/>
      <c r="E6" s="173" t="s">
        <v>213</v>
      </c>
      <c r="F6" s="173" t="s">
        <v>214</v>
      </c>
      <c r="G6" s="174" t="s">
        <v>246</v>
      </c>
    </row>
    <row r="7" spans="2:7" ht="12.75">
      <c r="B7" s="216" t="s">
        <v>236</v>
      </c>
      <c r="C7" s="202"/>
      <c r="D7" s="203"/>
      <c r="E7" s="379">
        <v>0.5</v>
      </c>
      <c r="F7" s="220" t="s">
        <v>222</v>
      </c>
      <c r="G7" s="221">
        <v>0.5</v>
      </c>
    </row>
    <row r="8" spans="2:7" ht="12.75">
      <c r="B8" s="200" t="s">
        <v>244</v>
      </c>
      <c r="C8" s="203"/>
      <c r="D8" s="203"/>
      <c r="E8" s="379">
        <v>0.15</v>
      </c>
      <c r="F8" s="220" t="s">
        <v>245</v>
      </c>
      <c r="G8" s="221">
        <v>0.15</v>
      </c>
    </row>
    <row r="9" spans="2:7" ht="12.75">
      <c r="B9" s="200" t="s">
        <v>237</v>
      </c>
      <c r="C9" s="203"/>
      <c r="D9" s="203"/>
      <c r="E9" s="379">
        <v>0.01</v>
      </c>
      <c r="F9" s="220" t="s">
        <v>222</v>
      </c>
      <c r="G9" s="221">
        <v>0.01</v>
      </c>
    </row>
    <row r="10" spans="2:7" ht="12.75">
      <c r="B10" s="200" t="s">
        <v>238</v>
      </c>
      <c r="C10" s="203"/>
      <c r="D10" s="203"/>
      <c r="E10" s="379">
        <v>365</v>
      </c>
      <c r="F10" s="220" t="s">
        <v>239</v>
      </c>
      <c r="G10" s="221">
        <v>365</v>
      </c>
    </row>
    <row r="11" spans="2:7" ht="12.75">
      <c r="B11" s="200" t="s">
        <v>242</v>
      </c>
      <c r="C11" s="203"/>
      <c r="D11" s="203"/>
      <c r="E11" s="379">
        <v>0.5</v>
      </c>
      <c r="F11" s="220" t="s">
        <v>215</v>
      </c>
      <c r="G11" s="221">
        <v>0.5</v>
      </c>
    </row>
    <row r="12" spans="2:7" ht="12.75">
      <c r="B12" s="200" t="s">
        <v>254</v>
      </c>
      <c r="C12" s="203"/>
      <c r="D12" s="203"/>
      <c r="E12" s="379">
        <v>40</v>
      </c>
      <c r="F12" s="220" t="s">
        <v>223</v>
      </c>
      <c r="G12" s="221">
        <v>2</v>
      </c>
    </row>
    <row r="13" spans="2:7" ht="12.75">
      <c r="B13" s="200" t="s">
        <v>129</v>
      </c>
      <c r="C13" s="203"/>
      <c r="D13" s="203"/>
      <c r="E13" s="379">
        <v>0.01</v>
      </c>
      <c r="F13" s="220" t="s">
        <v>130</v>
      </c>
      <c r="G13" s="221">
        <f>1/100</f>
        <v>0.01</v>
      </c>
    </row>
    <row r="14" spans="2:7" ht="12.75">
      <c r="B14" s="200" t="s">
        <v>138</v>
      </c>
      <c r="C14" s="203"/>
      <c r="D14" s="203"/>
      <c r="E14" s="379">
        <v>80</v>
      </c>
      <c r="F14" s="220" t="s">
        <v>223</v>
      </c>
      <c r="G14" s="221">
        <v>10</v>
      </c>
    </row>
    <row r="15" spans="2:7" ht="12.75">
      <c r="B15" s="200" t="s">
        <v>255</v>
      </c>
      <c r="C15" s="203"/>
      <c r="D15" s="203"/>
      <c r="E15" s="379">
        <v>0.08</v>
      </c>
      <c r="F15" s="220" t="s">
        <v>256</v>
      </c>
      <c r="G15" s="221">
        <v>0.08</v>
      </c>
    </row>
    <row r="16" spans="2:7" ht="12.75">
      <c r="B16" s="200" t="s">
        <v>188</v>
      </c>
      <c r="C16" s="203"/>
      <c r="D16" s="203"/>
      <c r="E16" s="379">
        <v>0.2</v>
      </c>
      <c r="F16" s="220" t="s">
        <v>187</v>
      </c>
      <c r="G16" s="221">
        <f>1/5</f>
        <v>0.2</v>
      </c>
    </row>
    <row r="17" spans="2:7" ht="12.75">
      <c r="B17" s="200" t="s">
        <v>257</v>
      </c>
      <c r="C17" s="212"/>
      <c r="D17" s="212"/>
      <c r="E17" s="379">
        <v>10</v>
      </c>
      <c r="F17" s="220" t="s">
        <v>217</v>
      </c>
      <c r="G17" s="222">
        <v>10</v>
      </c>
    </row>
    <row r="18" spans="2:7" ht="12.75">
      <c r="B18" s="231" t="s">
        <v>411</v>
      </c>
      <c r="C18" s="202"/>
      <c r="D18" s="203"/>
      <c r="E18" s="388">
        <v>15</v>
      </c>
      <c r="F18" s="178" t="s">
        <v>413</v>
      </c>
      <c r="G18" s="112">
        <v>15</v>
      </c>
    </row>
    <row r="19" spans="2:7" ht="12.75">
      <c r="B19" s="110" t="s">
        <v>412</v>
      </c>
      <c r="C19" s="111"/>
      <c r="D19" s="175"/>
      <c r="E19" s="379">
        <v>50</v>
      </c>
      <c r="F19" s="296" t="s">
        <v>413</v>
      </c>
      <c r="G19" s="516">
        <v>50</v>
      </c>
    </row>
    <row r="20" spans="2:7" ht="12.75">
      <c r="B20" s="216" t="s">
        <v>423</v>
      </c>
      <c r="C20" s="202"/>
      <c r="D20" s="203"/>
      <c r="E20" s="379">
        <v>2.5</v>
      </c>
      <c r="F20" s="220" t="s">
        <v>422</v>
      </c>
      <c r="G20" s="221">
        <v>2.5</v>
      </c>
    </row>
    <row r="21" spans="2:7" ht="13.5" thickBot="1">
      <c r="B21" s="223" t="s">
        <v>360</v>
      </c>
      <c r="C21" s="181"/>
      <c r="D21" s="224"/>
      <c r="E21" s="380">
        <v>0.1</v>
      </c>
      <c r="F21" s="225" t="s">
        <v>134</v>
      </c>
      <c r="G21" s="226">
        <f>1/10</f>
        <v>0.1</v>
      </c>
    </row>
    <row r="22" ht="13.5" thickBot="1"/>
    <row r="23" spans="1:19" s="19" customFormat="1" ht="16.5" thickBot="1">
      <c r="A23" s="564" t="s">
        <v>190</v>
      </c>
      <c r="I23" s="60"/>
      <c r="J23" s="564"/>
      <c r="L23" s="19" t="s">
        <v>190</v>
      </c>
      <c r="S23" s="566"/>
    </row>
    <row r="24" s="8" customFormat="1" ht="13.5" thickBot="1">
      <c r="I24" s="61"/>
    </row>
    <row r="25" spans="2:19" s="20" customFormat="1" ht="15">
      <c r="B25" s="227" t="s">
        <v>47</v>
      </c>
      <c r="C25" s="21"/>
      <c r="D25" s="21"/>
      <c r="E25" s="21"/>
      <c r="F25" s="21"/>
      <c r="G25" s="21"/>
      <c r="H25" s="21"/>
      <c r="I25" s="22"/>
      <c r="J25" s="40"/>
      <c r="L25" s="227" t="s">
        <v>48</v>
      </c>
      <c r="M25" s="21"/>
      <c r="N25" s="21"/>
      <c r="O25" s="21"/>
      <c r="P25" s="21"/>
      <c r="Q25" s="21"/>
      <c r="R25" s="21"/>
      <c r="S25" s="22"/>
    </row>
    <row r="26" spans="2:19" s="23" customFormat="1" ht="15">
      <c r="B26" s="228" t="s">
        <v>258</v>
      </c>
      <c r="C26" s="24"/>
      <c r="D26" s="24"/>
      <c r="E26" s="24"/>
      <c r="F26" s="25"/>
      <c r="G26" s="229" t="s">
        <v>213</v>
      </c>
      <c r="H26" s="230" t="s">
        <v>214</v>
      </c>
      <c r="I26" s="62"/>
      <c r="J26" s="41"/>
      <c r="L26" s="228" t="s">
        <v>258</v>
      </c>
      <c r="M26" s="24"/>
      <c r="N26" s="24"/>
      <c r="O26" s="24"/>
      <c r="P26" s="25"/>
      <c r="Q26" s="229" t="s">
        <v>213</v>
      </c>
      <c r="R26" s="230" t="s">
        <v>214</v>
      </c>
      <c r="S26" s="26"/>
    </row>
    <row r="27" spans="2:19" ht="12.75">
      <c r="B27" s="216" t="s">
        <v>191</v>
      </c>
      <c r="C27" s="202"/>
      <c r="D27" s="202"/>
      <c r="E27" s="202"/>
      <c r="F27" s="203"/>
      <c r="G27" s="376">
        <f>beds_per_large_A_HCF*E7</f>
        <v>125</v>
      </c>
      <c r="H27" s="377" t="s">
        <v>211</v>
      </c>
      <c r="I27" s="71"/>
      <c r="J27" s="175"/>
      <c r="L27" s="216" t="s">
        <v>191</v>
      </c>
      <c r="M27" s="202"/>
      <c r="N27" s="202"/>
      <c r="O27" s="202"/>
      <c r="P27" s="203"/>
      <c r="Q27" s="376">
        <f>beds_per_large_B_HCF*E7</f>
        <v>375</v>
      </c>
      <c r="R27" s="377" t="s">
        <v>14</v>
      </c>
      <c r="S27" s="71"/>
    </row>
    <row r="28" spans="2:19" ht="12.75">
      <c r="B28" s="216" t="s">
        <v>193</v>
      </c>
      <c r="C28" s="202"/>
      <c r="D28" s="202"/>
      <c r="E28" s="202"/>
      <c r="F28" s="203"/>
      <c r="G28" s="378">
        <f>G27/E8</f>
        <v>833.3333333333334</v>
      </c>
      <c r="H28" s="377" t="s">
        <v>212</v>
      </c>
      <c r="I28" s="71"/>
      <c r="J28" s="175"/>
      <c r="L28" s="216" t="s">
        <v>193</v>
      </c>
      <c r="M28" s="202"/>
      <c r="N28" s="202"/>
      <c r="O28" s="202"/>
      <c r="P28" s="203"/>
      <c r="Q28" s="378">
        <f>Q27/E8</f>
        <v>2500</v>
      </c>
      <c r="R28" s="377" t="s">
        <v>15</v>
      </c>
      <c r="S28" s="71"/>
    </row>
    <row r="29" spans="2:19" ht="12.75">
      <c r="B29" s="216" t="s">
        <v>427</v>
      </c>
      <c r="C29" s="202"/>
      <c r="D29" s="202"/>
      <c r="E29" s="202"/>
      <c r="F29" s="203"/>
      <c r="G29" s="217">
        <f>beds_per_large_A_HCF*E7/ratio_inf_to_noninf*ratio_chemical_to_noninf</f>
        <v>19.23076923076923</v>
      </c>
      <c r="H29" s="377" t="s">
        <v>211</v>
      </c>
      <c r="I29" s="495"/>
      <c r="J29" s="175"/>
      <c r="L29" s="216" t="s">
        <v>427</v>
      </c>
      <c r="M29" s="202"/>
      <c r="N29" s="202"/>
      <c r="O29" s="202"/>
      <c r="P29" s="203"/>
      <c r="Q29" s="217">
        <f>beds_per_large_B_HCF*E7/ratio_inf_to_noninf*ratio_chemical_to_noninf</f>
        <v>57.692307692307686</v>
      </c>
      <c r="R29" s="202" t="s">
        <v>192</v>
      </c>
      <c r="S29" s="495"/>
    </row>
    <row r="30" spans="2:19" ht="13.5" thickBot="1">
      <c r="B30" s="179" t="s">
        <v>202</v>
      </c>
      <c r="C30" s="180"/>
      <c r="D30" s="180"/>
      <c r="E30" s="180"/>
      <c r="F30" s="181"/>
      <c r="G30" s="497">
        <f>beds_per_large_A_HCF*E9</f>
        <v>2.5</v>
      </c>
      <c r="H30" s="498" t="s">
        <v>211</v>
      </c>
      <c r="I30" s="496"/>
      <c r="J30" s="175"/>
      <c r="L30" s="179" t="s">
        <v>202</v>
      </c>
      <c r="M30" s="180"/>
      <c r="N30" s="180"/>
      <c r="O30" s="180"/>
      <c r="P30" s="181"/>
      <c r="Q30" s="497">
        <f>beds_per_large_B_HCF*E9</f>
        <v>7.5</v>
      </c>
      <c r="R30" s="498" t="s">
        <v>14</v>
      </c>
      <c r="S30" s="496"/>
    </row>
    <row r="31" spans="2:19" ht="12.75">
      <c r="B31" s="249" t="s">
        <v>428</v>
      </c>
      <c r="C31" s="111"/>
      <c r="D31" s="111"/>
      <c r="E31" s="111"/>
      <c r="F31" s="111"/>
      <c r="G31" s="111"/>
      <c r="H31" s="111"/>
      <c r="I31" s="215"/>
      <c r="J31" s="175"/>
      <c r="L31" s="249" t="s">
        <v>428</v>
      </c>
      <c r="M31" s="111"/>
      <c r="N31" s="111"/>
      <c r="O31" s="111"/>
      <c r="P31" s="111"/>
      <c r="Q31" s="111"/>
      <c r="R31" s="111"/>
      <c r="S31" s="215"/>
    </row>
    <row r="32" ht="13.5" thickBot="1">
      <c r="J32" s="175"/>
    </row>
    <row r="33" spans="2:19" s="23" customFormat="1" ht="15.75" thickBot="1">
      <c r="B33" s="232" t="s">
        <v>128</v>
      </c>
      <c r="C33" s="28"/>
      <c r="D33" s="28"/>
      <c r="E33" s="28"/>
      <c r="F33" s="28"/>
      <c r="G33" s="28"/>
      <c r="H33" s="28"/>
      <c r="I33" s="29"/>
      <c r="J33" s="40"/>
      <c r="L33" s="232" t="s">
        <v>150</v>
      </c>
      <c r="M33" s="28"/>
      <c r="N33" s="28"/>
      <c r="O33" s="28"/>
      <c r="P33" s="28"/>
      <c r="Q33" s="28"/>
      <c r="R33" s="28"/>
      <c r="S33" s="29"/>
    </row>
    <row r="34" ht="13.5" thickBot="1">
      <c r="J34" s="175"/>
    </row>
    <row r="35" spans="2:19" s="23" customFormat="1" ht="15">
      <c r="B35" s="189" t="s">
        <v>265</v>
      </c>
      <c r="C35" s="190"/>
      <c r="D35" s="518" t="s">
        <v>466</v>
      </c>
      <c r="E35" s="517"/>
      <c r="F35" s="35"/>
      <c r="G35" s="35"/>
      <c r="H35" s="35"/>
      <c r="I35" s="65"/>
      <c r="J35" s="42"/>
      <c r="L35" s="189" t="s">
        <v>265</v>
      </c>
      <c r="M35" s="233"/>
      <c r="N35" s="518" t="s">
        <v>466</v>
      </c>
      <c r="O35" s="517"/>
      <c r="P35" s="35"/>
      <c r="Q35" s="35"/>
      <c r="R35" s="35"/>
      <c r="S35" s="36"/>
    </row>
    <row r="36" spans="2:19" ht="12.75">
      <c r="B36" s="110"/>
      <c r="C36" s="111"/>
      <c r="D36" s="111"/>
      <c r="E36" s="111"/>
      <c r="F36" s="111"/>
      <c r="G36" s="111"/>
      <c r="H36" s="111"/>
      <c r="I36" s="192"/>
      <c r="J36" s="175"/>
      <c r="L36" s="110"/>
      <c r="M36" s="111"/>
      <c r="N36" s="111"/>
      <c r="O36" s="111"/>
      <c r="P36" s="111"/>
      <c r="Q36" s="111"/>
      <c r="R36" s="111"/>
      <c r="S36" s="112"/>
    </row>
    <row r="37" spans="2:19" s="23" customFormat="1" ht="15">
      <c r="B37" s="228" t="s">
        <v>219</v>
      </c>
      <c r="C37" s="234"/>
      <c r="D37" s="234"/>
      <c r="E37" s="234"/>
      <c r="F37" s="230"/>
      <c r="G37" s="230"/>
      <c r="H37" s="230"/>
      <c r="I37" s="235"/>
      <c r="J37" s="42"/>
      <c r="L37" s="228" t="s">
        <v>219</v>
      </c>
      <c r="M37" s="230"/>
      <c r="N37" s="230"/>
      <c r="O37" s="230"/>
      <c r="P37" s="230"/>
      <c r="Q37" s="230"/>
      <c r="R37" s="230"/>
      <c r="S37" s="236"/>
    </row>
    <row r="38" spans="2:19" s="23" customFormat="1" ht="14.25">
      <c r="B38" s="237" t="s">
        <v>220</v>
      </c>
      <c r="C38" s="238" t="s">
        <v>258</v>
      </c>
      <c r="D38" s="239"/>
      <c r="E38" s="240"/>
      <c r="F38" s="240" t="s">
        <v>259</v>
      </c>
      <c r="G38" s="397" t="s">
        <v>260</v>
      </c>
      <c r="H38" s="397" t="s">
        <v>261</v>
      </c>
      <c r="I38" s="242" t="s">
        <v>262</v>
      </c>
      <c r="J38" s="42"/>
      <c r="L38" s="243" t="s">
        <v>220</v>
      </c>
      <c r="M38" s="238" t="s">
        <v>258</v>
      </c>
      <c r="N38" s="239"/>
      <c r="O38" s="240"/>
      <c r="P38" s="241" t="s">
        <v>259</v>
      </c>
      <c r="Q38" s="397" t="s">
        <v>260</v>
      </c>
      <c r="R38" s="397" t="s">
        <v>261</v>
      </c>
      <c r="S38" s="244" t="s">
        <v>262</v>
      </c>
    </row>
    <row r="39" spans="2:19" ht="12.75">
      <c r="B39" s="216">
        <v>1</v>
      </c>
      <c r="C39" s="201" t="s">
        <v>195</v>
      </c>
      <c r="D39" s="202"/>
      <c r="E39" s="203"/>
      <c r="F39" s="203">
        <f>cost_50L_bin</f>
        <v>20</v>
      </c>
      <c r="G39" s="396">
        <f>TRUNC(G28/50)+TRUNC(G28/ratio_inf_to_noninf/50)+2</f>
        <v>126</v>
      </c>
      <c r="H39" s="394">
        <f>life_50L_bin</f>
        <v>2</v>
      </c>
      <c r="I39" s="205">
        <f aca="true" t="shared" si="0" ref="I39:I47">((F39*discount_rate)/(1-(1/(1+discount_rate)^H39)))*G39</f>
        <v>1316.9793103448274</v>
      </c>
      <c r="J39" s="175"/>
      <c r="L39" s="200">
        <v>1</v>
      </c>
      <c r="M39" s="201" t="s">
        <v>195</v>
      </c>
      <c r="N39" s="202"/>
      <c r="O39" s="203"/>
      <c r="P39" s="204">
        <f>cost_50L_bin</f>
        <v>20</v>
      </c>
      <c r="Q39" s="396">
        <f>TRUNC(Q28/50)+TRUNC(Q28/ratio_inf_to_noninf/50)+2</f>
        <v>378</v>
      </c>
      <c r="R39" s="394">
        <f>life_50L_bin</f>
        <v>2</v>
      </c>
      <c r="S39" s="458">
        <f aca="true" t="shared" si="1" ref="S39:S47">((P39*discount_rate)/(1-(1/(1+discount_rate)^R39)))*Q39</f>
        <v>3950.937931034482</v>
      </c>
    </row>
    <row r="40" spans="2:19" ht="12.75">
      <c r="B40" s="216">
        <v>2</v>
      </c>
      <c r="C40" s="201" t="s">
        <v>264</v>
      </c>
      <c r="D40" s="202"/>
      <c r="E40" s="203"/>
      <c r="F40" s="203">
        <f>cost_PPE</f>
        <v>35</v>
      </c>
      <c r="G40" s="394">
        <f>ROUND(E13*beds_per_large_A_HCF,0)</f>
        <v>3</v>
      </c>
      <c r="H40" s="394">
        <f>life_PPE</f>
        <v>2</v>
      </c>
      <c r="I40" s="205">
        <f t="shared" si="0"/>
        <v>54.87413793103448</v>
      </c>
      <c r="J40" s="175"/>
      <c r="L40" s="200">
        <v>2</v>
      </c>
      <c r="M40" s="201" t="s">
        <v>264</v>
      </c>
      <c r="N40" s="202"/>
      <c r="O40" s="203"/>
      <c r="P40" s="204">
        <f>cost_PPE</f>
        <v>35</v>
      </c>
      <c r="Q40" s="394">
        <f>ROUND(E13*beds_per_large_B_HCF,0)</f>
        <v>8</v>
      </c>
      <c r="R40" s="394">
        <f>life_PPE</f>
        <v>2</v>
      </c>
      <c r="S40" s="458">
        <f t="shared" si="1"/>
        <v>146.3310344827586</v>
      </c>
    </row>
    <row r="41" spans="2:19" ht="12.75">
      <c r="B41" s="216">
        <v>3</v>
      </c>
      <c r="C41" s="201" t="s">
        <v>197</v>
      </c>
      <c r="D41" s="202"/>
      <c r="E41" s="203"/>
      <c r="F41" s="203">
        <f>cost_240L_wheeled_bin</f>
        <v>45</v>
      </c>
      <c r="G41" s="394">
        <f>ROUND(E13*beds_per_large_A_HCF,0)</f>
        <v>3</v>
      </c>
      <c r="H41" s="394">
        <f>life_240L_wheeled_bin</f>
        <v>4</v>
      </c>
      <c r="I41" s="205">
        <f t="shared" si="0"/>
        <v>36.31865110106616</v>
      </c>
      <c r="J41" s="175"/>
      <c r="L41" s="200">
        <v>3</v>
      </c>
      <c r="M41" s="201" t="s">
        <v>197</v>
      </c>
      <c r="N41" s="202"/>
      <c r="O41" s="203"/>
      <c r="P41" s="204">
        <f>cost_240L_wheeled_bin</f>
        <v>45</v>
      </c>
      <c r="Q41" s="394">
        <f>ROUND(E13*beds_per_large_B_HCF,0)</f>
        <v>8</v>
      </c>
      <c r="R41" s="394">
        <f>life_240L_wheeled_bin</f>
        <v>4</v>
      </c>
      <c r="S41" s="458">
        <f t="shared" si="1"/>
        <v>96.84973626950976</v>
      </c>
    </row>
    <row r="42" spans="2:19" ht="12.75">
      <c r="B42" s="216">
        <v>4</v>
      </c>
      <c r="C42" s="201" t="s">
        <v>198</v>
      </c>
      <c r="D42" s="202"/>
      <c r="E42" s="203"/>
      <c r="F42" s="203">
        <f>cost_large_storage_area</f>
        <v>2000</v>
      </c>
      <c r="G42" s="394">
        <v>1</v>
      </c>
      <c r="H42" s="394">
        <f>life_large_storage_area</f>
        <v>10</v>
      </c>
      <c r="I42" s="205">
        <f t="shared" si="0"/>
        <v>234.46101321031924</v>
      </c>
      <c r="J42" s="175"/>
      <c r="L42" s="200">
        <v>4</v>
      </c>
      <c r="M42" s="201" t="s">
        <v>198</v>
      </c>
      <c r="N42" s="202"/>
      <c r="O42" s="203"/>
      <c r="P42" s="204">
        <f>cost_large_storage_area</f>
        <v>2000</v>
      </c>
      <c r="Q42" s="394">
        <v>1</v>
      </c>
      <c r="R42" s="394">
        <f>life_large_storage_area</f>
        <v>10</v>
      </c>
      <c r="S42" s="458">
        <f t="shared" si="1"/>
        <v>234.46101321031924</v>
      </c>
    </row>
    <row r="43" spans="2:19" ht="12.75">
      <c r="B43" s="216">
        <v>5</v>
      </c>
      <c r="C43" s="201" t="s">
        <v>439</v>
      </c>
      <c r="D43" s="202"/>
      <c r="E43" s="203"/>
      <c r="F43" s="203">
        <f>cost_medium_autoclave</f>
        <v>40000</v>
      </c>
      <c r="G43" s="394">
        <v>1</v>
      </c>
      <c r="H43" s="394">
        <f>life_125L_autoclave</f>
        <v>10</v>
      </c>
      <c r="I43" s="205">
        <f t="shared" si="0"/>
        <v>4689.220264206385</v>
      </c>
      <c r="J43" s="175"/>
      <c r="L43" s="200">
        <v>5</v>
      </c>
      <c r="M43" s="201" t="s">
        <v>151</v>
      </c>
      <c r="N43" s="202"/>
      <c r="O43" s="203"/>
      <c r="P43" s="204">
        <f>cost_340L_autoclave</f>
        <v>36500</v>
      </c>
      <c r="Q43" s="394">
        <v>1</v>
      </c>
      <c r="R43" s="394">
        <f>life_340L_autoclave</f>
        <v>10</v>
      </c>
      <c r="S43" s="458">
        <f t="shared" si="1"/>
        <v>4278.913491088326</v>
      </c>
    </row>
    <row r="44" spans="2:19" ht="12.75">
      <c r="B44" s="216">
        <v>6</v>
      </c>
      <c r="C44" s="201" t="s">
        <v>364</v>
      </c>
      <c r="D44" s="202"/>
      <c r="E44" s="203"/>
      <c r="F44" s="203">
        <f>cost_medium_shredder</f>
        <v>25000</v>
      </c>
      <c r="G44" s="394">
        <v>1</v>
      </c>
      <c r="H44" s="394">
        <f>life_medium_shredder</f>
        <v>5</v>
      </c>
      <c r="I44" s="205">
        <f t="shared" si="0"/>
        <v>5458.864285014405</v>
      </c>
      <c r="J44" s="175"/>
      <c r="L44" s="200">
        <v>6</v>
      </c>
      <c r="M44" s="201" t="s">
        <v>364</v>
      </c>
      <c r="N44" s="202"/>
      <c r="O44" s="203"/>
      <c r="P44" s="204">
        <f>cost_medium_shredder</f>
        <v>25000</v>
      </c>
      <c r="Q44" s="394">
        <v>1</v>
      </c>
      <c r="R44" s="394">
        <f>life_medium_shredder</f>
        <v>5</v>
      </c>
      <c r="S44" s="458">
        <f t="shared" si="1"/>
        <v>5458.864285014405</v>
      </c>
    </row>
    <row r="45" spans="2:19" ht="12.75">
      <c r="B45" s="216">
        <v>7</v>
      </c>
      <c r="C45" s="201" t="s">
        <v>199</v>
      </c>
      <c r="D45" s="202"/>
      <c r="E45" s="203"/>
      <c r="F45" s="203">
        <f>cost_shelter_treatment_system</f>
        <v>2000</v>
      </c>
      <c r="G45" s="394">
        <v>1</v>
      </c>
      <c r="H45" s="394">
        <f>life_shelter_treatment_system</f>
        <v>10</v>
      </c>
      <c r="I45" s="205">
        <f t="shared" si="0"/>
        <v>234.46101321031924</v>
      </c>
      <c r="J45" s="175"/>
      <c r="L45" s="200">
        <v>7</v>
      </c>
      <c r="M45" s="201" t="s">
        <v>199</v>
      </c>
      <c r="N45" s="202"/>
      <c r="O45" s="203"/>
      <c r="P45" s="204">
        <f>cost_shelter_treatment_system</f>
        <v>2000</v>
      </c>
      <c r="Q45" s="394">
        <v>1</v>
      </c>
      <c r="R45" s="394">
        <f>life_shelter_treatment_system</f>
        <v>10</v>
      </c>
      <c r="S45" s="458">
        <f t="shared" si="1"/>
        <v>234.46101321031924</v>
      </c>
    </row>
    <row r="46" spans="2:19" ht="12.75">
      <c r="B46" s="216">
        <v>8</v>
      </c>
      <c r="C46" s="201" t="s">
        <v>133</v>
      </c>
      <c r="D46" s="202"/>
      <c r="E46" s="203"/>
      <c r="F46" s="203">
        <f>cost_reusable_sharps_container</f>
        <v>35</v>
      </c>
      <c r="G46" s="394">
        <f>ROUND(E21*beds_per_large_A_HCF,0)</f>
        <v>25</v>
      </c>
      <c r="H46" s="394">
        <f>life_reusable_sharps_container</f>
        <v>2</v>
      </c>
      <c r="I46" s="205">
        <f t="shared" si="0"/>
        <v>457.28448275862064</v>
      </c>
      <c r="J46" s="175"/>
      <c r="L46" s="200">
        <v>8</v>
      </c>
      <c r="M46" s="201" t="s">
        <v>133</v>
      </c>
      <c r="N46" s="202"/>
      <c r="O46" s="203"/>
      <c r="P46" s="204">
        <f>cost_reusable_sharps_container</f>
        <v>35</v>
      </c>
      <c r="Q46" s="394">
        <f>ROUND(E21*beds_per_large_B_HCF,0)</f>
        <v>75</v>
      </c>
      <c r="R46" s="394">
        <f>life_reusable_sharps_container</f>
        <v>2</v>
      </c>
      <c r="S46" s="458">
        <f t="shared" si="1"/>
        <v>1371.8534482758619</v>
      </c>
    </row>
    <row r="47" spans="2:19" ht="13.5" thickBot="1">
      <c r="B47" s="218">
        <v>9</v>
      </c>
      <c r="C47" s="207" t="s">
        <v>398</v>
      </c>
      <c r="D47" s="208"/>
      <c r="E47" s="209"/>
      <c r="F47" s="210">
        <f>cost_incubator_kit</f>
        <v>200</v>
      </c>
      <c r="G47" s="395">
        <v>1</v>
      </c>
      <c r="H47" s="395">
        <f>life_incubator_kit</f>
        <v>5</v>
      </c>
      <c r="I47" s="211">
        <f t="shared" si="0"/>
        <v>43.67091428011524</v>
      </c>
      <c r="J47" s="175"/>
      <c r="L47" s="206">
        <v>9</v>
      </c>
      <c r="M47" s="207" t="s">
        <v>398</v>
      </c>
      <c r="N47" s="208"/>
      <c r="O47" s="209"/>
      <c r="P47" s="210">
        <f>cost_incubator_kit</f>
        <v>200</v>
      </c>
      <c r="Q47" s="395">
        <v>1</v>
      </c>
      <c r="R47" s="395">
        <f>life_incubator_kit</f>
        <v>5</v>
      </c>
      <c r="S47" s="459">
        <f t="shared" si="1"/>
        <v>43.67091428011524</v>
      </c>
    </row>
    <row r="48" spans="2:19" s="32" customFormat="1" ht="15.75" thickTop="1">
      <c r="B48" s="30"/>
      <c r="C48" s="31" t="s">
        <v>144</v>
      </c>
      <c r="D48" s="31"/>
      <c r="E48" s="31"/>
      <c r="F48" s="31"/>
      <c r="G48" s="31"/>
      <c r="H48" s="31"/>
      <c r="I48" s="59">
        <f>SUM(I39:I47)</f>
        <v>12526.134072057093</v>
      </c>
      <c r="J48" s="43"/>
      <c r="L48" s="30"/>
      <c r="M48" s="31" t="s">
        <v>16</v>
      </c>
      <c r="N48" s="31"/>
      <c r="O48" s="31"/>
      <c r="P48" s="31"/>
      <c r="Q48" s="31"/>
      <c r="R48" s="31"/>
      <c r="S48" s="460">
        <f>SUM(S39:S47)</f>
        <v>15816.342866866096</v>
      </c>
    </row>
    <row r="49" spans="2:19" s="32" customFormat="1" ht="15">
      <c r="B49" s="30"/>
      <c r="C49" s="31" t="s">
        <v>145</v>
      </c>
      <c r="D49" s="31"/>
      <c r="E49" s="31"/>
      <c r="F49" s="31"/>
      <c r="G49" s="31"/>
      <c r="H49" s="31"/>
      <c r="I49" s="59">
        <f>I48*number_large_A_HCFs</f>
        <v>125261.34072057094</v>
      </c>
      <c r="J49" s="43"/>
      <c r="L49" s="30"/>
      <c r="M49" s="31" t="s">
        <v>17</v>
      </c>
      <c r="N49" s="31"/>
      <c r="O49" s="31"/>
      <c r="P49" s="31"/>
      <c r="Q49" s="31"/>
      <c r="R49" s="31"/>
      <c r="S49" s="460">
        <f>S48*number_large_B_HCFs</f>
        <v>79081.71433433048</v>
      </c>
    </row>
    <row r="50" spans="2:19" s="23" customFormat="1" ht="15">
      <c r="B50" s="228" t="s">
        <v>221</v>
      </c>
      <c r="C50" s="230"/>
      <c r="D50" s="230"/>
      <c r="E50" s="230"/>
      <c r="F50" s="230"/>
      <c r="G50" s="230"/>
      <c r="H50" s="230"/>
      <c r="I50" s="235"/>
      <c r="J50" s="42"/>
      <c r="L50" s="228" t="s">
        <v>221</v>
      </c>
      <c r="M50" s="230"/>
      <c r="N50" s="230"/>
      <c r="O50" s="230"/>
      <c r="P50" s="230"/>
      <c r="Q50" s="230"/>
      <c r="R50" s="230"/>
      <c r="S50" s="236"/>
    </row>
    <row r="51" spans="2:19" s="23" customFormat="1" ht="14.25">
      <c r="B51" s="243" t="s">
        <v>220</v>
      </c>
      <c r="C51" s="238" t="s">
        <v>258</v>
      </c>
      <c r="D51" s="239"/>
      <c r="E51" s="240"/>
      <c r="F51" s="241" t="s">
        <v>259</v>
      </c>
      <c r="G51" s="397" t="s">
        <v>260</v>
      </c>
      <c r="H51" s="241" t="s">
        <v>149</v>
      </c>
      <c r="I51" s="242" t="s">
        <v>262</v>
      </c>
      <c r="J51" s="42"/>
      <c r="L51" s="243" t="s">
        <v>220</v>
      </c>
      <c r="M51" s="238" t="s">
        <v>258</v>
      </c>
      <c r="N51" s="239"/>
      <c r="O51" s="240"/>
      <c r="P51" s="241" t="s">
        <v>259</v>
      </c>
      <c r="Q51" s="397" t="s">
        <v>260</v>
      </c>
      <c r="R51" s="241" t="s">
        <v>149</v>
      </c>
      <c r="S51" s="244" t="s">
        <v>262</v>
      </c>
    </row>
    <row r="52" spans="2:19" ht="12.75">
      <c r="B52" s="200">
        <v>1</v>
      </c>
      <c r="C52" s="201" t="s">
        <v>226</v>
      </c>
      <c r="D52" s="202"/>
      <c r="E52" s="203"/>
      <c r="F52" s="204">
        <f>cost_50L_plastic_bag</f>
        <v>0.12</v>
      </c>
      <c r="G52" s="394">
        <f>(TRUNC(G28/50)+TRUNC(G28/ratio_inf_to_noninf/50)+2)*E10</f>
        <v>45990</v>
      </c>
      <c r="H52" s="204"/>
      <c r="I52" s="205">
        <f>F52*G52</f>
        <v>5518.8</v>
      </c>
      <c r="J52" s="175"/>
      <c r="L52" s="200">
        <v>1</v>
      </c>
      <c r="M52" s="201" t="s">
        <v>226</v>
      </c>
      <c r="N52" s="202"/>
      <c r="O52" s="203"/>
      <c r="P52" s="204">
        <f>cost_50L_plastic_bag</f>
        <v>0.12</v>
      </c>
      <c r="Q52" s="394">
        <f>(TRUNC(Q28/50)+TRUNC(Q28/ratio_inf_to_noninf/50)+2)*E10</f>
        <v>137970</v>
      </c>
      <c r="R52" s="204"/>
      <c r="S52" s="458">
        <f>P52*Q52</f>
        <v>16556.399999999998</v>
      </c>
    </row>
    <row r="53" spans="2:19" ht="12.75">
      <c r="B53" s="200">
        <v>2</v>
      </c>
      <c r="C53" s="201" t="s">
        <v>270</v>
      </c>
      <c r="D53" s="202"/>
      <c r="E53" s="203"/>
      <c r="F53" s="204">
        <f>E15</f>
        <v>0.08</v>
      </c>
      <c r="G53" s="396">
        <f>kWh_per_cycle_medium_autoclave*TRUNC(TRUNC(G28/260)+1)+kWh_per_liter_medium_shredder*G28</f>
        <v>11.166666666666668</v>
      </c>
      <c r="H53" s="204" t="s">
        <v>440</v>
      </c>
      <c r="I53" s="205">
        <f>F53*G53*E10</f>
        <v>326.0666666666667</v>
      </c>
      <c r="J53" s="175"/>
      <c r="L53" s="200">
        <v>2</v>
      </c>
      <c r="M53" s="201" t="s">
        <v>270</v>
      </c>
      <c r="N53" s="202"/>
      <c r="O53" s="203"/>
      <c r="P53" s="204">
        <f>E15</f>
        <v>0.08</v>
      </c>
      <c r="Q53" s="396">
        <f>(kWh_per_liter_large_autoclave+kWh_per_liter_medium_shredder)*Q28</f>
        <v>40.5</v>
      </c>
      <c r="R53" s="204" t="s">
        <v>135</v>
      </c>
      <c r="S53" s="458">
        <f>P53*Q53*E10</f>
        <v>1182.6000000000001</v>
      </c>
    </row>
    <row r="54" spans="2:19" ht="12.75">
      <c r="B54" s="200">
        <v>3</v>
      </c>
      <c r="C54" s="201" t="s">
        <v>272</v>
      </c>
      <c r="D54" s="202"/>
      <c r="E54" s="203"/>
      <c r="F54" s="204">
        <f>Cost_water_sewage</f>
        <v>0.5</v>
      </c>
      <c r="G54" s="394">
        <f>(TRUNC(G28/100)+1)*water_use_125L_autoclave</f>
        <v>27</v>
      </c>
      <c r="H54" s="204" t="s">
        <v>208</v>
      </c>
      <c r="I54" s="205">
        <f>F54/1000*G54*E10</f>
        <v>4.9275</v>
      </c>
      <c r="J54" s="175"/>
      <c r="L54" s="200">
        <v>3</v>
      </c>
      <c r="M54" s="201" t="s">
        <v>272</v>
      </c>
      <c r="N54" s="202"/>
      <c r="O54" s="203"/>
      <c r="P54" s="204">
        <f>Cost_water_sewage</f>
        <v>0.5</v>
      </c>
      <c r="Q54" s="394">
        <f>(TRUNC(Q28/100)+1)*water_use_340L_autoclave</f>
        <v>78</v>
      </c>
      <c r="R54" s="204" t="s">
        <v>208</v>
      </c>
      <c r="S54" s="458">
        <f>P54/1000*Q54*E10</f>
        <v>14.235</v>
      </c>
    </row>
    <row r="55" spans="2:19" ht="12.75">
      <c r="B55" s="200">
        <v>4</v>
      </c>
      <c r="C55" s="462" t="s">
        <v>394</v>
      </c>
      <c r="D55" s="463"/>
      <c r="E55" s="464"/>
      <c r="F55" s="466">
        <f>cost_per_autoclave_test_indicator</f>
        <v>0.187</v>
      </c>
      <c r="G55" s="465">
        <f>TRUNC(G28/125)+1</f>
        <v>7</v>
      </c>
      <c r="H55" s="466" t="s">
        <v>399</v>
      </c>
      <c r="I55" s="467">
        <f>F55*G55*E10</f>
        <v>477.78499999999997</v>
      </c>
      <c r="J55" s="175"/>
      <c r="L55" s="200">
        <v>4</v>
      </c>
      <c r="M55" s="462" t="s">
        <v>394</v>
      </c>
      <c r="N55" s="463"/>
      <c r="O55" s="464"/>
      <c r="P55" s="466">
        <f>cost_per_autoclave_test_indicator</f>
        <v>0.187</v>
      </c>
      <c r="Q55" s="465">
        <f>TRUNC(G28/340)+1</f>
        <v>3</v>
      </c>
      <c r="R55" s="466" t="s">
        <v>399</v>
      </c>
      <c r="S55" s="467">
        <f>P55*Q55*E10</f>
        <v>204.765</v>
      </c>
    </row>
    <row r="56" spans="2:19" ht="12.75">
      <c r="B56" s="200">
        <v>5</v>
      </c>
      <c r="C56" s="462" t="s">
        <v>400</v>
      </c>
      <c r="D56" s="463"/>
      <c r="E56" s="464"/>
      <c r="F56" s="204">
        <f>annual_cost_validation_testing</f>
        <v>45</v>
      </c>
      <c r="G56" s="394"/>
      <c r="H56" s="204" t="s">
        <v>155</v>
      </c>
      <c r="I56" s="205">
        <f>F56</f>
        <v>45</v>
      </c>
      <c r="J56" s="175"/>
      <c r="L56" s="200">
        <v>5</v>
      </c>
      <c r="M56" s="462" t="s">
        <v>400</v>
      </c>
      <c r="N56" s="463"/>
      <c r="O56" s="464"/>
      <c r="P56" s="204">
        <f>annual_cost_validation_testing</f>
        <v>45</v>
      </c>
      <c r="Q56" s="394"/>
      <c r="R56" s="204" t="s">
        <v>155</v>
      </c>
      <c r="S56" s="467">
        <f>P56</f>
        <v>45</v>
      </c>
    </row>
    <row r="57" spans="2:19" ht="12.75">
      <c r="B57" s="200">
        <v>6</v>
      </c>
      <c r="C57" s="201" t="s">
        <v>137</v>
      </c>
      <c r="D57" s="202"/>
      <c r="E57" s="203"/>
      <c r="F57" s="204">
        <f>E12</f>
        <v>40</v>
      </c>
      <c r="G57" s="394">
        <f>E13*beds_per_large_A_HCF</f>
        <v>2.5</v>
      </c>
      <c r="H57" s="204"/>
      <c r="I57" s="205">
        <f>F57*G57*E10</f>
        <v>36500</v>
      </c>
      <c r="J57" s="175"/>
      <c r="L57" s="200">
        <v>6</v>
      </c>
      <c r="M57" s="201" t="s">
        <v>137</v>
      </c>
      <c r="N57" s="202"/>
      <c r="O57" s="203"/>
      <c r="P57" s="204">
        <f>E12</f>
        <v>40</v>
      </c>
      <c r="Q57" s="394">
        <f>E13*beds_per_large_B_HCF</f>
        <v>7.5</v>
      </c>
      <c r="R57" s="204"/>
      <c r="S57" s="458">
        <f>P57*Q57*E10</f>
        <v>109500</v>
      </c>
    </row>
    <row r="58" spans="2:19" ht="12.75">
      <c r="B58" s="200">
        <v>7</v>
      </c>
      <c r="C58" s="201" t="s">
        <v>139</v>
      </c>
      <c r="D58" s="202"/>
      <c r="E58" s="203"/>
      <c r="F58" s="204">
        <f>E14</f>
        <v>80</v>
      </c>
      <c r="G58" s="394">
        <v>1</v>
      </c>
      <c r="H58" s="204" t="s">
        <v>141</v>
      </c>
      <c r="I58" s="205">
        <f>F58*G58*E10</f>
        <v>29200</v>
      </c>
      <c r="J58" s="175"/>
      <c r="L58" s="200">
        <v>7</v>
      </c>
      <c r="M58" s="201" t="s">
        <v>139</v>
      </c>
      <c r="N58" s="202"/>
      <c r="O58" s="203"/>
      <c r="P58" s="204">
        <f>E14</f>
        <v>80</v>
      </c>
      <c r="Q58" s="394">
        <v>1</v>
      </c>
      <c r="R58" s="204" t="s">
        <v>141</v>
      </c>
      <c r="S58" s="458">
        <f>P58*Q58*E10</f>
        <v>29200</v>
      </c>
    </row>
    <row r="59" spans="2:19" ht="12.75">
      <c r="B59" s="200">
        <v>8</v>
      </c>
      <c r="C59" s="201" t="s">
        <v>277</v>
      </c>
      <c r="D59" s="202"/>
      <c r="E59" s="203"/>
      <c r="F59" s="204"/>
      <c r="G59" s="394">
        <f>maintenance_frax_cap_cost*100</f>
        <v>10</v>
      </c>
      <c r="H59" s="204" t="s">
        <v>279</v>
      </c>
      <c r="I59" s="205">
        <f>I48*maintenance_frax_cap_cost</f>
        <v>1252.6134072057093</v>
      </c>
      <c r="J59" s="175"/>
      <c r="L59" s="200">
        <v>8</v>
      </c>
      <c r="M59" s="201" t="s">
        <v>277</v>
      </c>
      <c r="N59" s="202"/>
      <c r="O59" s="203"/>
      <c r="P59" s="204"/>
      <c r="Q59" s="394">
        <f>maintenance_frax_cap_cost*100</f>
        <v>10</v>
      </c>
      <c r="R59" s="204" t="s">
        <v>279</v>
      </c>
      <c r="S59" s="458">
        <f>S48*maintenance_frax_cap_cost</f>
        <v>1581.6342866866098</v>
      </c>
    </row>
    <row r="60" spans="2:19" ht="12.75">
      <c r="B60" s="488">
        <v>9</v>
      </c>
      <c r="C60" s="455" t="s">
        <v>414</v>
      </c>
      <c r="D60" s="252"/>
      <c r="E60" s="212"/>
      <c r="F60" s="176">
        <f>E18+E19</f>
        <v>65</v>
      </c>
      <c r="G60" s="456">
        <f>E7*(1+1/ratio_inf_to_noninf)*beds_per_large_A_HCF*E10/1000</f>
        <v>343.9423076923077</v>
      </c>
      <c r="H60" s="176" t="s">
        <v>72</v>
      </c>
      <c r="I60" s="457">
        <f>F60*G60</f>
        <v>22356.25</v>
      </c>
      <c r="J60" s="175"/>
      <c r="L60" s="488">
        <v>9</v>
      </c>
      <c r="M60" s="455" t="s">
        <v>414</v>
      </c>
      <c r="N60" s="252"/>
      <c r="O60" s="212"/>
      <c r="P60" s="176">
        <f>E18+E19</f>
        <v>65</v>
      </c>
      <c r="Q60" s="456">
        <f>E7*(1+1/ratio_inf_to_noninf)*beds_per_large_B_HCF*E10/1000</f>
        <v>1031.826923076923</v>
      </c>
      <c r="R60" s="176" t="s">
        <v>72</v>
      </c>
      <c r="S60" s="457">
        <f>P60*Q60</f>
        <v>67068.75</v>
      </c>
    </row>
    <row r="61" spans="2:19" ht="12.75">
      <c r="B61" s="488">
        <v>10</v>
      </c>
      <c r="C61" s="455" t="s">
        <v>430</v>
      </c>
      <c r="D61" s="252"/>
      <c r="E61" s="212"/>
      <c r="F61" s="212">
        <f>E20</f>
        <v>2.5</v>
      </c>
      <c r="G61" s="456">
        <f>G29*E10</f>
        <v>7019.230769230769</v>
      </c>
      <c r="H61" s="176" t="s">
        <v>74</v>
      </c>
      <c r="I61" s="457">
        <f>F61*G61</f>
        <v>17548.076923076922</v>
      </c>
      <c r="J61" s="175"/>
      <c r="L61" s="488">
        <v>10</v>
      </c>
      <c r="M61" s="455" t="s">
        <v>430</v>
      </c>
      <c r="N61" s="252"/>
      <c r="O61" s="212"/>
      <c r="P61" s="212">
        <f>E20</f>
        <v>2.5</v>
      </c>
      <c r="Q61" s="456">
        <f>Q29*E10</f>
        <v>21057.692307692305</v>
      </c>
      <c r="R61" s="176" t="s">
        <v>74</v>
      </c>
      <c r="S61" s="457">
        <f>P61*Q61</f>
        <v>52644.230769230766</v>
      </c>
    </row>
    <row r="62" spans="2:19" ht="13.5" thickBot="1">
      <c r="B62" s="206">
        <v>11</v>
      </c>
      <c r="C62" s="207" t="s">
        <v>280</v>
      </c>
      <c r="D62" s="208"/>
      <c r="E62" s="209"/>
      <c r="F62" s="210">
        <f>E17</f>
        <v>10</v>
      </c>
      <c r="G62" s="395">
        <f>beds_per_large_A_HCF*E16</f>
        <v>50</v>
      </c>
      <c r="H62" s="210"/>
      <c r="I62" s="211">
        <f>F62*G62</f>
        <v>500</v>
      </c>
      <c r="J62" s="175"/>
      <c r="L62" s="206">
        <v>11</v>
      </c>
      <c r="M62" s="207" t="s">
        <v>280</v>
      </c>
      <c r="N62" s="208"/>
      <c r="O62" s="209"/>
      <c r="P62" s="210">
        <f>E17</f>
        <v>10</v>
      </c>
      <c r="Q62" s="395">
        <f>beds_per_large_B_HCF*E16</f>
        <v>150</v>
      </c>
      <c r="R62" s="210"/>
      <c r="S62" s="459">
        <f>P62*Q62</f>
        <v>1500</v>
      </c>
    </row>
    <row r="63" spans="2:19" s="32" customFormat="1" ht="15.75" thickTop="1">
      <c r="B63" s="30"/>
      <c r="C63" s="31" t="s">
        <v>146</v>
      </c>
      <c r="D63" s="31"/>
      <c r="E63" s="31"/>
      <c r="F63" s="31"/>
      <c r="G63" s="31"/>
      <c r="H63" s="31"/>
      <c r="I63" s="59">
        <f>SUM(I52:I62)</f>
        <v>113729.51949694929</v>
      </c>
      <c r="J63" s="43"/>
      <c r="L63" s="30"/>
      <c r="M63" s="31" t="s">
        <v>18</v>
      </c>
      <c r="N63" s="31"/>
      <c r="O63" s="31"/>
      <c r="P63" s="31"/>
      <c r="Q63" s="31"/>
      <c r="R63" s="31"/>
      <c r="S63" s="460">
        <f>SUM(S52:S62)</f>
        <v>279497.61505591735</v>
      </c>
    </row>
    <row r="64" spans="2:19" s="32" customFormat="1" ht="15.75" thickBot="1">
      <c r="B64" s="33"/>
      <c r="C64" s="34" t="s">
        <v>147</v>
      </c>
      <c r="D64" s="34"/>
      <c r="E64" s="34"/>
      <c r="F64" s="34"/>
      <c r="G64" s="34"/>
      <c r="H64" s="34"/>
      <c r="I64" s="514">
        <f>I63*number_large_A_HCFs</f>
        <v>1137295.194969493</v>
      </c>
      <c r="J64" s="43"/>
      <c r="L64" s="33"/>
      <c r="M64" s="34" t="s">
        <v>19</v>
      </c>
      <c r="N64" s="34"/>
      <c r="O64" s="34"/>
      <c r="P64" s="34"/>
      <c r="Q64" s="34"/>
      <c r="R64" s="34"/>
      <c r="S64" s="515">
        <f>S63*number_large_B_HCFs</f>
        <v>1397488.0752795867</v>
      </c>
    </row>
    <row r="65" spans="2:19" s="39" customFormat="1" ht="15.75" thickBot="1">
      <c r="B65" s="20"/>
      <c r="C65" s="20"/>
      <c r="D65" s="20"/>
      <c r="E65" s="20"/>
      <c r="F65" s="20"/>
      <c r="G65" s="20"/>
      <c r="H65" s="20"/>
      <c r="I65" s="64"/>
      <c r="J65" s="40"/>
      <c r="L65" s="20"/>
      <c r="M65" s="20"/>
      <c r="N65" s="20"/>
      <c r="O65" s="20"/>
      <c r="P65" s="20"/>
      <c r="Q65" s="20"/>
      <c r="R65" s="20"/>
      <c r="S65" s="38"/>
    </row>
    <row r="66" spans="2:19" s="39" customFormat="1" ht="15">
      <c r="B66" s="20"/>
      <c r="C66" s="501" t="s">
        <v>442</v>
      </c>
      <c r="D66" s="502"/>
      <c r="E66" s="502"/>
      <c r="F66" s="502"/>
      <c r="G66" s="502"/>
      <c r="H66" s="502"/>
      <c r="I66" s="503"/>
      <c r="J66" s="41"/>
      <c r="K66" s="37"/>
      <c r="M66" s="501" t="s">
        <v>442</v>
      </c>
      <c r="N66" s="502"/>
      <c r="O66" s="502"/>
      <c r="P66" s="502"/>
      <c r="Q66" s="502"/>
      <c r="R66" s="502"/>
      <c r="S66" s="503"/>
    </row>
    <row r="67" spans="2:19" s="39" customFormat="1" ht="15">
      <c r="B67" s="20"/>
      <c r="C67" s="504" t="s">
        <v>443</v>
      </c>
      <c r="D67" s="470"/>
      <c r="E67" s="471"/>
      <c r="F67" s="505" t="s">
        <v>259</v>
      </c>
      <c r="G67" s="506" t="s">
        <v>260</v>
      </c>
      <c r="H67" s="505" t="s">
        <v>149</v>
      </c>
      <c r="I67" s="507" t="s">
        <v>444</v>
      </c>
      <c r="J67" s="41"/>
      <c r="K67" s="37"/>
      <c r="M67" s="504" t="s">
        <v>443</v>
      </c>
      <c r="N67" s="470"/>
      <c r="O67" s="471"/>
      <c r="P67" s="505" t="s">
        <v>259</v>
      </c>
      <c r="Q67" s="506" t="s">
        <v>260</v>
      </c>
      <c r="R67" s="505" t="s">
        <v>149</v>
      </c>
      <c r="S67" s="507" t="s">
        <v>444</v>
      </c>
    </row>
    <row r="68" spans="2:19" s="39" customFormat="1" ht="15.75" thickBot="1">
      <c r="B68" s="20"/>
      <c r="C68" s="508" t="s">
        <v>445</v>
      </c>
      <c r="D68" s="509"/>
      <c r="E68" s="510"/>
      <c r="F68" s="511">
        <v>0.4</v>
      </c>
      <c r="G68" s="513">
        <f>G30*E10*number_large_A_HCFs</f>
        <v>9125</v>
      </c>
      <c r="H68" s="511" t="s">
        <v>417</v>
      </c>
      <c r="I68" s="512">
        <f>G68*F68</f>
        <v>3650</v>
      </c>
      <c r="J68" s="41"/>
      <c r="K68" s="37"/>
      <c r="M68" s="508" t="s">
        <v>445</v>
      </c>
      <c r="N68" s="509"/>
      <c r="O68" s="510"/>
      <c r="P68" s="511">
        <v>0.4</v>
      </c>
      <c r="Q68" s="513">
        <f>Q30*E10*number_large_B_HCFs</f>
        <v>13687.5</v>
      </c>
      <c r="R68" s="511" t="s">
        <v>417</v>
      </c>
      <c r="S68" s="512">
        <f>Q68*P68</f>
        <v>5475</v>
      </c>
    </row>
    <row r="69" ht="13.5" thickBot="1">
      <c r="J69" s="175"/>
    </row>
    <row r="70" spans="2:19" s="23" customFormat="1" ht="15">
      <c r="B70" s="189" t="s">
        <v>186</v>
      </c>
      <c r="C70" s="190"/>
      <c r="D70" s="518" t="s">
        <v>467</v>
      </c>
      <c r="E70" s="517"/>
      <c r="F70" s="517"/>
      <c r="G70" s="35"/>
      <c r="H70" s="35"/>
      <c r="I70" s="65"/>
      <c r="J70" s="42"/>
      <c r="L70" s="189" t="s">
        <v>186</v>
      </c>
      <c r="M70" s="190"/>
      <c r="N70" s="518" t="s">
        <v>467</v>
      </c>
      <c r="O70" s="517"/>
      <c r="P70" s="517"/>
      <c r="Q70" s="35"/>
      <c r="R70" s="35"/>
      <c r="S70" s="36"/>
    </row>
    <row r="71" spans="2:19" ht="12.75">
      <c r="B71" s="110"/>
      <c r="C71" s="111"/>
      <c r="D71" s="111"/>
      <c r="E71" s="111"/>
      <c r="F71" s="111"/>
      <c r="G71" s="111"/>
      <c r="H71" s="111"/>
      <c r="I71" s="192"/>
      <c r="J71" s="175"/>
      <c r="L71" s="110"/>
      <c r="M71" s="111"/>
      <c r="N71" s="111"/>
      <c r="O71" s="111"/>
      <c r="P71" s="111"/>
      <c r="Q71" s="111"/>
      <c r="R71" s="111"/>
      <c r="S71" s="112"/>
    </row>
    <row r="72" spans="2:19" s="23" customFormat="1" ht="15">
      <c r="B72" s="228" t="s">
        <v>219</v>
      </c>
      <c r="C72" s="230"/>
      <c r="D72" s="230"/>
      <c r="E72" s="230"/>
      <c r="F72" s="230"/>
      <c r="G72" s="230"/>
      <c r="H72" s="230"/>
      <c r="I72" s="235"/>
      <c r="J72" s="42"/>
      <c r="L72" s="228" t="s">
        <v>219</v>
      </c>
      <c r="M72" s="230"/>
      <c r="N72" s="230"/>
      <c r="O72" s="230"/>
      <c r="P72" s="230"/>
      <c r="Q72" s="230"/>
      <c r="R72" s="230"/>
      <c r="S72" s="236"/>
    </row>
    <row r="73" spans="2:19" s="23" customFormat="1" ht="14.25">
      <c r="B73" s="243" t="s">
        <v>220</v>
      </c>
      <c r="C73" s="238" t="s">
        <v>258</v>
      </c>
      <c r="D73" s="239"/>
      <c r="E73" s="240"/>
      <c r="F73" s="241" t="s">
        <v>259</v>
      </c>
      <c r="G73" s="397" t="s">
        <v>260</v>
      </c>
      <c r="H73" s="397" t="s">
        <v>261</v>
      </c>
      <c r="I73" s="242" t="s">
        <v>262</v>
      </c>
      <c r="J73" s="42"/>
      <c r="L73" s="243" t="s">
        <v>220</v>
      </c>
      <c r="M73" s="238" t="s">
        <v>258</v>
      </c>
      <c r="N73" s="239"/>
      <c r="O73" s="240"/>
      <c r="P73" s="241" t="s">
        <v>259</v>
      </c>
      <c r="Q73" s="397" t="s">
        <v>260</v>
      </c>
      <c r="R73" s="397" t="s">
        <v>261</v>
      </c>
      <c r="S73" s="244" t="s">
        <v>262</v>
      </c>
    </row>
    <row r="74" spans="2:19" ht="12.75">
      <c r="B74" s="200">
        <v>1</v>
      </c>
      <c r="C74" s="201" t="s">
        <v>195</v>
      </c>
      <c r="D74" s="202"/>
      <c r="E74" s="203"/>
      <c r="F74" s="204">
        <f>cost_50L_bin</f>
        <v>20</v>
      </c>
      <c r="G74" s="396">
        <f>TRUNC(G28/50)+TRUNC(G28/ratio_inf_to_noninf/50)+2</f>
        <v>126</v>
      </c>
      <c r="H74" s="394">
        <f>life_50L_bin</f>
        <v>2</v>
      </c>
      <c r="I74" s="205">
        <f aca="true" t="shared" si="2" ref="I74:I81">((F74*discount_rate)/(1-(1/(1+discount_rate)^H74)))*G74</f>
        <v>1316.9793103448274</v>
      </c>
      <c r="J74" s="175"/>
      <c r="L74" s="200">
        <v>1</v>
      </c>
      <c r="M74" s="201" t="s">
        <v>195</v>
      </c>
      <c r="N74" s="202"/>
      <c r="O74" s="203"/>
      <c r="P74" s="204">
        <f>cost_50L_bin</f>
        <v>20</v>
      </c>
      <c r="Q74" s="396">
        <f>TRUNC(Q28/50)+TRUNC(Q28/ratio_inf_to_noninf/50)+2</f>
        <v>378</v>
      </c>
      <c r="R74" s="394">
        <f>life_50L_bin</f>
        <v>2</v>
      </c>
      <c r="S74" s="458">
        <f aca="true" t="shared" si="3" ref="S74:S81">((P74*discount_rate)/(1-(1/(1+discount_rate)^R74)))*Q74</f>
        <v>3950.937931034482</v>
      </c>
    </row>
    <row r="75" spans="2:19" ht="12.75">
      <c r="B75" s="200">
        <v>2</v>
      </c>
      <c r="C75" s="201" t="s">
        <v>264</v>
      </c>
      <c r="D75" s="202"/>
      <c r="E75" s="203"/>
      <c r="F75" s="204">
        <f>cost_PPE</f>
        <v>35</v>
      </c>
      <c r="G75" s="394">
        <f>ROUND(E13*beds_per_large_A_HCF,0)</f>
        <v>3</v>
      </c>
      <c r="H75" s="394">
        <f>life_PPE</f>
        <v>2</v>
      </c>
      <c r="I75" s="205">
        <f t="shared" si="2"/>
        <v>54.87413793103448</v>
      </c>
      <c r="J75" s="175"/>
      <c r="L75" s="200">
        <v>2</v>
      </c>
      <c r="M75" s="201" t="s">
        <v>264</v>
      </c>
      <c r="N75" s="202"/>
      <c r="O75" s="203"/>
      <c r="P75" s="204">
        <f>cost_PPE</f>
        <v>35</v>
      </c>
      <c r="Q75" s="394">
        <f>ROUND(E13*beds_per_large_B_HCF,0)</f>
        <v>8</v>
      </c>
      <c r="R75" s="394">
        <f>life_PPE</f>
        <v>2</v>
      </c>
      <c r="S75" s="458">
        <f t="shared" si="3"/>
        <v>146.3310344827586</v>
      </c>
    </row>
    <row r="76" spans="2:19" ht="12.75">
      <c r="B76" s="200">
        <v>3</v>
      </c>
      <c r="C76" s="201" t="s">
        <v>197</v>
      </c>
      <c r="D76" s="202"/>
      <c r="E76" s="203"/>
      <c r="F76" s="204">
        <f>cost_240L_wheeled_bin</f>
        <v>45</v>
      </c>
      <c r="G76" s="394">
        <f>ROUND(E13*beds_per_large_A_HCF,0)</f>
        <v>3</v>
      </c>
      <c r="H76" s="394">
        <f>life_240L_wheeled_bin</f>
        <v>4</v>
      </c>
      <c r="I76" s="205">
        <f t="shared" si="2"/>
        <v>36.31865110106616</v>
      </c>
      <c r="J76" s="175"/>
      <c r="L76" s="200">
        <v>3</v>
      </c>
      <c r="M76" s="201" t="s">
        <v>197</v>
      </c>
      <c r="N76" s="202"/>
      <c r="O76" s="203"/>
      <c r="P76" s="204">
        <f>cost_240L_wheeled_bin</f>
        <v>45</v>
      </c>
      <c r="Q76" s="394">
        <f>ROUND(E13*beds_per_large_B_HCF,0)</f>
        <v>8</v>
      </c>
      <c r="R76" s="394">
        <f>life_240L_wheeled_bin</f>
        <v>4</v>
      </c>
      <c r="S76" s="458">
        <f t="shared" si="3"/>
        <v>96.84973626950976</v>
      </c>
    </row>
    <row r="77" spans="2:19" ht="12.75">
      <c r="B77" s="200">
        <v>4</v>
      </c>
      <c r="C77" s="201" t="s">
        <v>198</v>
      </c>
      <c r="D77" s="202"/>
      <c r="E77" s="203"/>
      <c r="F77" s="204">
        <f>cost_large_storage_area</f>
        <v>2000</v>
      </c>
      <c r="G77" s="394">
        <v>1</v>
      </c>
      <c r="H77" s="394">
        <f>life_large_storage_area</f>
        <v>10</v>
      </c>
      <c r="I77" s="205">
        <f t="shared" si="2"/>
        <v>234.46101321031924</v>
      </c>
      <c r="J77" s="175"/>
      <c r="L77" s="200">
        <v>4</v>
      </c>
      <c r="M77" s="201" t="s">
        <v>198</v>
      </c>
      <c r="N77" s="202"/>
      <c r="O77" s="203"/>
      <c r="P77" s="204">
        <f>cost_large_storage_area</f>
        <v>2000</v>
      </c>
      <c r="Q77" s="394">
        <v>1</v>
      </c>
      <c r="R77" s="394">
        <f>life_large_storage_area</f>
        <v>10</v>
      </c>
      <c r="S77" s="458">
        <f t="shared" si="3"/>
        <v>234.46101321031924</v>
      </c>
    </row>
    <row r="78" spans="2:19" ht="12.75">
      <c r="B78" s="200">
        <v>5</v>
      </c>
      <c r="C78" s="201" t="s">
        <v>148</v>
      </c>
      <c r="D78" s="202"/>
      <c r="E78" s="203"/>
      <c r="F78" s="204">
        <f>cost_incinerator_50kg_per_hr</f>
        <v>37500</v>
      </c>
      <c r="G78" s="394">
        <v>1</v>
      </c>
      <c r="H78" s="394">
        <f>life_incinerator_50kg_per_hr</f>
        <v>10</v>
      </c>
      <c r="I78" s="205">
        <f t="shared" si="2"/>
        <v>4396.143997693485</v>
      </c>
      <c r="J78" s="175"/>
      <c r="L78" s="200">
        <v>5</v>
      </c>
      <c r="M78" s="201" t="s">
        <v>454</v>
      </c>
      <c r="N78" s="202"/>
      <c r="O78" s="203"/>
      <c r="P78" s="204">
        <f>cost_incinerator_150kg_per_hr</f>
        <v>100000</v>
      </c>
      <c r="Q78" s="394">
        <v>1</v>
      </c>
      <c r="R78" s="394">
        <f>life_incinerator_150kg_per_hr</f>
        <v>10</v>
      </c>
      <c r="S78" s="458">
        <f t="shared" si="3"/>
        <v>11723.050660515963</v>
      </c>
    </row>
    <row r="79" spans="2:19" ht="12.75">
      <c r="B79" s="200">
        <v>6</v>
      </c>
      <c r="C79" s="201" t="s">
        <v>446</v>
      </c>
      <c r="D79" s="202"/>
      <c r="E79" s="203"/>
      <c r="F79" s="204">
        <f>cost_air_pollution_control_medium_incinerator</f>
        <v>192000</v>
      </c>
      <c r="G79" s="394">
        <f>G78</f>
        <v>1</v>
      </c>
      <c r="H79" s="394">
        <f>life_air_pollution_control_medium_incinerator</f>
        <v>10</v>
      </c>
      <c r="I79" s="205">
        <f t="shared" si="2"/>
        <v>22508.257268190646</v>
      </c>
      <c r="J79" s="175"/>
      <c r="L79" s="200">
        <v>6</v>
      </c>
      <c r="M79" s="201" t="s">
        <v>446</v>
      </c>
      <c r="N79" s="202"/>
      <c r="O79" s="203"/>
      <c r="P79" s="204">
        <f>cost_air_pollution_control_medium_large_incinerator</f>
        <v>231000</v>
      </c>
      <c r="Q79" s="394">
        <f>Q78</f>
        <v>1</v>
      </c>
      <c r="R79" s="394">
        <f>life_air_pollution_control_medium_large_incinerator</f>
        <v>10</v>
      </c>
      <c r="S79" s="461">
        <f t="shared" si="3"/>
        <v>27080.247025791872</v>
      </c>
    </row>
    <row r="80" spans="2:19" ht="12.75">
      <c r="B80" s="200">
        <v>7</v>
      </c>
      <c r="C80" s="201" t="s">
        <v>199</v>
      </c>
      <c r="D80" s="202"/>
      <c r="E80" s="203"/>
      <c r="F80" s="204">
        <f>cost_shelter_treatment_system</f>
        <v>2000</v>
      </c>
      <c r="G80" s="394">
        <v>1</v>
      </c>
      <c r="H80" s="394">
        <f>life_shelter_treatment_system</f>
        <v>10</v>
      </c>
      <c r="I80" s="205">
        <f t="shared" si="2"/>
        <v>234.46101321031924</v>
      </c>
      <c r="J80" s="175"/>
      <c r="L80" s="200">
        <v>7</v>
      </c>
      <c r="M80" s="201" t="s">
        <v>199</v>
      </c>
      <c r="N80" s="202"/>
      <c r="O80" s="203"/>
      <c r="P80" s="204">
        <f>cost_shelter_treatment_system</f>
        <v>2000</v>
      </c>
      <c r="Q80" s="394">
        <v>1</v>
      </c>
      <c r="R80" s="394">
        <f>life_shelter_treatment_system</f>
        <v>10</v>
      </c>
      <c r="S80" s="458">
        <f t="shared" si="3"/>
        <v>234.46101321031924</v>
      </c>
    </row>
    <row r="81" spans="2:19" ht="13.5" thickBot="1">
      <c r="B81" s="206">
        <v>8</v>
      </c>
      <c r="C81" s="201" t="s">
        <v>448</v>
      </c>
      <c r="D81" s="202"/>
      <c r="E81" s="203"/>
      <c r="F81" s="204">
        <f>cost_monitoring_system_medium_incinerator</f>
        <v>16600</v>
      </c>
      <c r="G81" s="394">
        <v>1</v>
      </c>
      <c r="H81" s="394">
        <f>life_emission_system_medium_incinerator</f>
        <v>10</v>
      </c>
      <c r="I81" s="211">
        <f t="shared" si="2"/>
        <v>1946.0264096456497</v>
      </c>
      <c r="J81" s="175"/>
      <c r="L81" s="206">
        <v>8</v>
      </c>
      <c r="M81" s="201" t="s">
        <v>448</v>
      </c>
      <c r="N81" s="202"/>
      <c r="O81" s="203"/>
      <c r="P81" s="204">
        <f>cost_monitoring_system_medium_incinerator</f>
        <v>16600</v>
      </c>
      <c r="Q81" s="394">
        <v>1</v>
      </c>
      <c r="R81" s="394">
        <f>life_emission_system_medium_incinerator</f>
        <v>10</v>
      </c>
      <c r="S81" s="459">
        <f t="shared" si="3"/>
        <v>1946.0264096456497</v>
      </c>
    </row>
    <row r="82" spans="2:19" s="32" customFormat="1" ht="15.75" thickTop="1">
      <c r="B82" s="30"/>
      <c r="C82" s="31" t="s">
        <v>144</v>
      </c>
      <c r="D82" s="31"/>
      <c r="E82" s="31"/>
      <c r="F82" s="31"/>
      <c r="G82" s="31"/>
      <c r="H82" s="31"/>
      <c r="I82" s="59">
        <f>SUM(I74:I81)</f>
        <v>30727.521801327344</v>
      </c>
      <c r="J82" s="43"/>
      <c r="L82" s="30"/>
      <c r="M82" s="31" t="s">
        <v>16</v>
      </c>
      <c r="N82" s="31"/>
      <c r="O82" s="31"/>
      <c r="P82" s="31"/>
      <c r="Q82" s="31"/>
      <c r="R82" s="31"/>
      <c r="S82" s="460">
        <f>SUM(S74:S81)</f>
        <v>45412.364824160875</v>
      </c>
    </row>
    <row r="83" spans="2:19" s="32" customFormat="1" ht="15">
      <c r="B83" s="30"/>
      <c r="C83" s="31" t="s">
        <v>145</v>
      </c>
      <c r="D83" s="31"/>
      <c r="E83" s="31"/>
      <c r="F83" s="31"/>
      <c r="G83" s="31"/>
      <c r="H83" s="31"/>
      <c r="I83" s="59">
        <f>I82*number_large_A_HCFs</f>
        <v>307275.21801327344</v>
      </c>
      <c r="J83" s="43"/>
      <c r="L83" s="30"/>
      <c r="M83" s="31" t="s">
        <v>17</v>
      </c>
      <c r="N83" s="31"/>
      <c r="O83" s="31"/>
      <c r="P83" s="31"/>
      <c r="Q83" s="31"/>
      <c r="R83" s="31"/>
      <c r="S83" s="460">
        <f>S82*number_large_B_HCFs</f>
        <v>227061.82412080438</v>
      </c>
    </row>
    <row r="84" spans="2:19" s="23" customFormat="1" ht="15">
      <c r="B84" s="245" t="s">
        <v>221</v>
      </c>
      <c r="C84" s="230"/>
      <c r="D84" s="230"/>
      <c r="E84" s="230"/>
      <c r="F84" s="230"/>
      <c r="G84" s="230"/>
      <c r="H84" s="230"/>
      <c r="I84" s="235"/>
      <c r="J84" s="42"/>
      <c r="L84" s="228" t="s">
        <v>221</v>
      </c>
      <c r="M84" s="230"/>
      <c r="N84" s="230"/>
      <c r="O84" s="230"/>
      <c r="P84" s="230"/>
      <c r="Q84" s="230"/>
      <c r="R84" s="230"/>
      <c r="S84" s="236"/>
    </row>
    <row r="85" spans="2:19" s="23" customFormat="1" ht="14.25">
      <c r="B85" s="243" t="s">
        <v>220</v>
      </c>
      <c r="C85" s="238" t="s">
        <v>258</v>
      </c>
      <c r="D85" s="239"/>
      <c r="E85" s="240"/>
      <c r="F85" s="241" t="s">
        <v>259</v>
      </c>
      <c r="G85" s="397" t="s">
        <v>260</v>
      </c>
      <c r="H85" s="241" t="s">
        <v>149</v>
      </c>
      <c r="I85" s="242" t="s">
        <v>262</v>
      </c>
      <c r="J85" s="42"/>
      <c r="L85" s="243" t="s">
        <v>220</v>
      </c>
      <c r="M85" s="238" t="s">
        <v>258</v>
      </c>
      <c r="N85" s="239"/>
      <c r="O85" s="240"/>
      <c r="P85" s="241" t="s">
        <v>259</v>
      </c>
      <c r="Q85" s="397" t="s">
        <v>260</v>
      </c>
      <c r="R85" s="241" t="s">
        <v>149</v>
      </c>
      <c r="S85" s="244" t="s">
        <v>262</v>
      </c>
    </row>
    <row r="86" spans="2:19" ht="12.75">
      <c r="B86" s="200">
        <v>1</v>
      </c>
      <c r="C86" s="201" t="s">
        <v>393</v>
      </c>
      <c r="D86" s="202"/>
      <c r="E86" s="203"/>
      <c r="F86" s="204">
        <f>cost_5L_plastic_sharps_container</f>
        <v>3.5</v>
      </c>
      <c r="G86" s="396">
        <f>G30/weight_syringe/capacity_safety_box*E10</f>
        <v>912.5</v>
      </c>
      <c r="H86" s="204"/>
      <c r="I86" s="205">
        <f>F86*G86</f>
        <v>3193.75</v>
      </c>
      <c r="J86" s="175"/>
      <c r="L86" s="200">
        <v>1</v>
      </c>
      <c r="M86" s="201" t="s">
        <v>393</v>
      </c>
      <c r="N86" s="202"/>
      <c r="O86" s="203"/>
      <c r="P86" s="204">
        <f>cost_5L_plastic_sharps_container</f>
        <v>3.5</v>
      </c>
      <c r="Q86" s="396">
        <f>Q30/weight_syringe/capacity_safety_box*E10</f>
        <v>2737.5</v>
      </c>
      <c r="R86" s="204"/>
      <c r="S86" s="458">
        <f>P86*Q86</f>
        <v>9581.25</v>
      </c>
    </row>
    <row r="87" spans="2:19" ht="12.75">
      <c r="B87" s="200">
        <v>2</v>
      </c>
      <c r="C87" s="201" t="s">
        <v>226</v>
      </c>
      <c r="D87" s="202"/>
      <c r="E87" s="203"/>
      <c r="F87" s="204">
        <f>cost_50L_plastic_bag</f>
        <v>0.12</v>
      </c>
      <c r="G87" s="394">
        <f>(TRUNC(G28/50)+TRUNC(G28/ratio_inf_to_noninf/50)+2)*E10</f>
        <v>45990</v>
      </c>
      <c r="H87" s="204"/>
      <c r="I87" s="205">
        <f>F87*G87</f>
        <v>5518.8</v>
      </c>
      <c r="J87" s="175"/>
      <c r="L87" s="200">
        <v>2</v>
      </c>
      <c r="M87" s="201" t="s">
        <v>226</v>
      </c>
      <c r="N87" s="202"/>
      <c r="O87" s="203"/>
      <c r="P87" s="204">
        <f>cost_50L_plastic_bag</f>
        <v>0.12</v>
      </c>
      <c r="Q87" s="394">
        <f>(TRUNC(Q28/50)+TRUNC(Q28/ratio_inf_to_noninf/50)+2)*E10</f>
        <v>137970</v>
      </c>
      <c r="R87" s="204"/>
      <c r="S87" s="458">
        <f>P87*Q87</f>
        <v>16556.399999999998</v>
      </c>
    </row>
    <row r="88" spans="2:19" ht="12.75">
      <c r="B88" s="200">
        <v>3</v>
      </c>
      <c r="C88" s="201" t="s">
        <v>458</v>
      </c>
      <c r="D88" s="202"/>
      <c r="E88" s="203"/>
      <c r="F88" s="204">
        <f>cost_fuel_1Ldiesel</f>
        <v>0.8</v>
      </c>
      <c r="G88" s="396">
        <f>G27/50*liters_diesel_per_hour_50kg_per_hr_incinerator*E10</f>
        <v>15512.5</v>
      </c>
      <c r="H88" s="204" t="s">
        <v>453</v>
      </c>
      <c r="I88" s="205">
        <f>F88*G88</f>
        <v>12410</v>
      </c>
      <c r="J88" s="175"/>
      <c r="L88" s="200">
        <v>3</v>
      </c>
      <c r="M88" s="201" t="s">
        <v>458</v>
      </c>
      <c r="N88" s="202"/>
      <c r="O88" s="203"/>
      <c r="P88" s="204">
        <f>cost_fuel_1Ldiesel</f>
        <v>0.8</v>
      </c>
      <c r="Q88" s="394">
        <f>Q27/150*liters_diesel_per_hour_150kg_per_hr_incinerator*E10</f>
        <v>40150</v>
      </c>
      <c r="R88" s="204" t="s">
        <v>453</v>
      </c>
      <c r="S88" s="458">
        <f>P88*Q88</f>
        <v>32120</v>
      </c>
    </row>
    <row r="89" spans="2:19" ht="12.75">
      <c r="B89" s="200">
        <v>4</v>
      </c>
      <c r="C89" s="201" t="s">
        <v>137</v>
      </c>
      <c r="D89" s="202"/>
      <c r="E89" s="203"/>
      <c r="F89" s="204">
        <f>E12</f>
        <v>40</v>
      </c>
      <c r="G89" s="394">
        <f>E13*beds_per_large_A_HCF</f>
        <v>2.5</v>
      </c>
      <c r="H89" s="204"/>
      <c r="I89" s="205">
        <f>F89*G89*E10</f>
        <v>36500</v>
      </c>
      <c r="J89" s="175"/>
      <c r="L89" s="200">
        <v>4</v>
      </c>
      <c r="M89" s="201" t="s">
        <v>137</v>
      </c>
      <c r="N89" s="202"/>
      <c r="O89" s="203"/>
      <c r="P89" s="204">
        <f>E12</f>
        <v>40</v>
      </c>
      <c r="Q89" s="394">
        <f>E13*beds_per_large_B_HCF</f>
        <v>7.5</v>
      </c>
      <c r="R89" s="204"/>
      <c r="S89" s="458">
        <f>P89*Q89*E10</f>
        <v>109500</v>
      </c>
    </row>
    <row r="90" spans="2:19" ht="12.75">
      <c r="B90" s="200">
        <v>5</v>
      </c>
      <c r="C90" s="201" t="s">
        <v>139</v>
      </c>
      <c r="D90" s="202"/>
      <c r="E90" s="203"/>
      <c r="F90" s="204">
        <f>E14</f>
        <v>80</v>
      </c>
      <c r="G90" s="394">
        <v>1</v>
      </c>
      <c r="H90" s="204" t="s">
        <v>141</v>
      </c>
      <c r="I90" s="205">
        <f>F90*G90*E10</f>
        <v>29200</v>
      </c>
      <c r="J90" s="175"/>
      <c r="L90" s="200">
        <v>5</v>
      </c>
      <c r="M90" s="201" t="s">
        <v>139</v>
      </c>
      <c r="N90" s="202"/>
      <c r="O90" s="203"/>
      <c r="P90" s="204">
        <f>E14</f>
        <v>80</v>
      </c>
      <c r="Q90" s="394">
        <v>1</v>
      </c>
      <c r="R90" s="204" t="s">
        <v>141</v>
      </c>
      <c r="S90" s="458">
        <f>P90*Q90*E10</f>
        <v>29200</v>
      </c>
    </row>
    <row r="91" spans="2:19" ht="12.75">
      <c r="B91" s="200">
        <v>6</v>
      </c>
      <c r="C91" s="201" t="s">
        <v>277</v>
      </c>
      <c r="D91" s="202"/>
      <c r="E91" s="203"/>
      <c r="F91" s="204"/>
      <c r="G91" s="394">
        <f>maintenance_frax_cap_cost*100</f>
        <v>10</v>
      </c>
      <c r="H91" s="204" t="s">
        <v>279</v>
      </c>
      <c r="I91" s="205">
        <f>I82*maintenance_frax_cap_cost</f>
        <v>3072.752180132735</v>
      </c>
      <c r="J91" s="175"/>
      <c r="L91" s="200">
        <v>6</v>
      </c>
      <c r="M91" s="201" t="s">
        <v>277</v>
      </c>
      <c r="N91" s="202"/>
      <c r="O91" s="203"/>
      <c r="P91" s="204"/>
      <c r="Q91" s="394">
        <f>maintenance_frax_cap_cost*100</f>
        <v>10</v>
      </c>
      <c r="R91" s="204" t="s">
        <v>279</v>
      </c>
      <c r="S91" s="458">
        <f>S82*maintenance_frax_cap_cost</f>
        <v>4541.236482416088</v>
      </c>
    </row>
    <row r="92" spans="2:19" ht="12.75">
      <c r="B92" s="488">
        <v>7</v>
      </c>
      <c r="C92" s="455" t="s">
        <v>45</v>
      </c>
      <c r="D92" s="252"/>
      <c r="E92" s="212"/>
      <c r="F92" s="212">
        <f>annual_cost_air_pollution_control_medium_incinerator</f>
        <v>50600</v>
      </c>
      <c r="G92" s="499"/>
      <c r="H92" s="176" t="s">
        <v>155</v>
      </c>
      <c r="I92" s="457">
        <f>F92</f>
        <v>50600</v>
      </c>
      <c r="J92" s="175"/>
      <c r="L92" s="488">
        <v>7</v>
      </c>
      <c r="M92" s="455" t="s">
        <v>45</v>
      </c>
      <c r="N92" s="252"/>
      <c r="O92" s="212"/>
      <c r="P92" s="212">
        <f>annual_cost_air_pollution_control_medium_large_incinerator</f>
        <v>70286</v>
      </c>
      <c r="Q92" s="499"/>
      <c r="R92" s="176" t="s">
        <v>155</v>
      </c>
      <c r="S92" s="500">
        <f>P92</f>
        <v>70286</v>
      </c>
    </row>
    <row r="93" spans="2:19" ht="12.75">
      <c r="B93" s="488">
        <v>8</v>
      </c>
      <c r="C93" s="455" t="s">
        <v>389</v>
      </c>
      <c r="D93" s="252"/>
      <c r="E93" s="212"/>
      <c r="F93" s="212">
        <f>annual_cost_emission_testing</f>
        <v>14300</v>
      </c>
      <c r="G93" s="499"/>
      <c r="H93" s="176" t="s">
        <v>155</v>
      </c>
      <c r="I93" s="457">
        <f>F93</f>
        <v>14300</v>
      </c>
      <c r="J93" s="175"/>
      <c r="L93" s="488">
        <v>8</v>
      </c>
      <c r="M93" s="455" t="s">
        <v>389</v>
      </c>
      <c r="N93" s="252"/>
      <c r="O93" s="212"/>
      <c r="P93" s="212">
        <f>annual_cost_emission_testing</f>
        <v>14300</v>
      </c>
      <c r="Q93" s="499"/>
      <c r="R93" s="176" t="s">
        <v>155</v>
      </c>
      <c r="S93" s="500">
        <f>P93</f>
        <v>14300</v>
      </c>
    </row>
    <row r="94" spans="2:19" ht="12.75">
      <c r="B94" s="488">
        <v>9</v>
      </c>
      <c r="C94" s="455" t="s">
        <v>414</v>
      </c>
      <c r="D94" s="252"/>
      <c r="E94" s="212"/>
      <c r="F94" s="176">
        <f>E18+E19</f>
        <v>65</v>
      </c>
      <c r="G94" s="456">
        <f>(E7/ratio_inf_to_noninf*beds_per_large_A_HCF*E10+G86*weight_5L_plastic_sharps_container)/1000</f>
        <v>298.5910576923077</v>
      </c>
      <c r="H94" s="176" t="s">
        <v>72</v>
      </c>
      <c r="I94" s="457">
        <f>F94*G94</f>
        <v>19408.41875</v>
      </c>
      <c r="J94" s="175"/>
      <c r="L94" s="488">
        <v>9</v>
      </c>
      <c r="M94" s="455" t="s">
        <v>414</v>
      </c>
      <c r="N94" s="252"/>
      <c r="O94" s="212"/>
      <c r="P94" s="176">
        <f>E18+E19</f>
        <v>65</v>
      </c>
      <c r="Q94" s="456">
        <f>(E7/ratio_inf_to_noninf*beds_per_large_B_HCF*E10)/1000</f>
        <v>894.951923076923</v>
      </c>
      <c r="R94" s="176" t="s">
        <v>72</v>
      </c>
      <c r="S94" s="500">
        <f>P94*Q94</f>
        <v>58171.87499999999</v>
      </c>
    </row>
    <row r="95" spans="2:19" ht="12.75">
      <c r="B95" s="488">
        <v>10</v>
      </c>
      <c r="C95" s="455" t="s">
        <v>449</v>
      </c>
      <c r="D95" s="252"/>
      <c r="E95" s="212"/>
      <c r="F95" s="212">
        <f>E20</f>
        <v>2.5</v>
      </c>
      <c r="G95" s="456">
        <f>G29*E10+0.1*(G27+G30)*E10</f>
        <v>11672.98076923077</v>
      </c>
      <c r="H95" s="176" t="s">
        <v>74</v>
      </c>
      <c r="I95" s="457">
        <f>G95*F95</f>
        <v>29182.451923076922</v>
      </c>
      <c r="J95" s="175"/>
      <c r="L95" s="488">
        <v>10</v>
      </c>
      <c r="M95" s="455" t="s">
        <v>449</v>
      </c>
      <c r="N95" s="252"/>
      <c r="O95" s="212"/>
      <c r="P95" s="212">
        <f>E20</f>
        <v>2.5</v>
      </c>
      <c r="Q95" s="456">
        <f>Q29*E10+0.1*(Q27+Q30+Q86*weight_5L_plastic_sharps_container)*E10</f>
        <v>64994.567307692305</v>
      </c>
      <c r="R95" s="176" t="s">
        <v>74</v>
      </c>
      <c r="S95" s="500">
        <f>P95*Q95</f>
        <v>162486.41826923075</v>
      </c>
    </row>
    <row r="96" spans="2:20" ht="13.5" thickBot="1">
      <c r="B96" s="206">
        <v>11</v>
      </c>
      <c r="C96" s="207" t="s">
        <v>280</v>
      </c>
      <c r="D96" s="208"/>
      <c r="E96" s="209"/>
      <c r="F96" s="210">
        <f>E17</f>
        <v>10</v>
      </c>
      <c r="G96" s="395">
        <f>beds_per_large_A_HCF*E16</f>
        <v>50</v>
      </c>
      <c r="H96" s="210"/>
      <c r="I96" s="211">
        <f>F96*G96</f>
        <v>500</v>
      </c>
      <c r="J96" s="175"/>
      <c r="L96" s="206">
        <v>11</v>
      </c>
      <c r="M96" s="207" t="s">
        <v>280</v>
      </c>
      <c r="N96" s="208"/>
      <c r="O96" s="209"/>
      <c r="P96" s="210">
        <f>E17</f>
        <v>10</v>
      </c>
      <c r="Q96" s="395">
        <f>beds_per_large_B_HCF*E16</f>
        <v>150</v>
      </c>
      <c r="R96" s="210"/>
      <c r="S96" s="459">
        <f>P96*Q96</f>
        <v>1500</v>
      </c>
      <c r="T96" s="78"/>
    </row>
    <row r="97" spans="2:20" s="23" customFormat="1" ht="15.75" thickTop="1">
      <c r="B97" s="30"/>
      <c r="C97" s="31" t="s">
        <v>146</v>
      </c>
      <c r="D97" s="31"/>
      <c r="E97" s="31"/>
      <c r="F97" s="31"/>
      <c r="G97" s="31"/>
      <c r="H97" s="31"/>
      <c r="I97" s="524">
        <f>SUM(I86:I96)</f>
        <v>203886.17285320966</v>
      </c>
      <c r="J97" s="42"/>
      <c r="L97" s="30"/>
      <c r="M97" s="31" t="s">
        <v>18</v>
      </c>
      <c r="N97" s="31"/>
      <c r="O97" s="31"/>
      <c r="P97" s="31"/>
      <c r="Q97" s="31"/>
      <c r="R97" s="31"/>
      <c r="S97" s="460">
        <f>SUM(S86:S96)</f>
        <v>508243.1797516468</v>
      </c>
      <c r="T97" s="78"/>
    </row>
    <row r="98" spans="2:19" s="23" customFormat="1" ht="15.75" thickBot="1">
      <c r="B98" s="33"/>
      <c r="C98" s="34" t="s">
        <v>147</v>
      </c>
      <c r="D98" s="34"/>
      <c r="E98" s="34"/>
      <c r="F98" s="34"/>
      <c r="G98" s="34"/>
      <c r="H98" s="34"/>
      <c r="I98" s="514">
        <f>I97*number_large_A_HCFs</f>
        <v>2038861.7285320966</v>
      </c>
      <c r="J98" s="42"/>
      <c r="L98" s="33"/>
      <c r="M98" s="34" t="s">
        <v>19</v>
      </c>
      <c r="N98" s="34"/>
      <c r="O98" s="34"/>
      <c r="P98" s="34"/>
      <c r="Q98" s="34"/>
      <c r="R98" s="34"/>
      <c r="S98" s="515">
        <f>S97*number_large_B_HCFs</f>
        <v>2541215.898758234</v>
      </c>
    </row>
    <row r="99" ht="13.5" thickBot="1"/>
    <row r="100" spans="2:19" ht="15">
      <c r="B100" s="189" t="s">
        <v>431</v>
      </c>
      <c r="C100" s="190"/>
      <c r="D100" s="518" t="s">
        <v>468</v>
      </c>
      <c r="E100" s="518"/>
      <c r="F100" s="35"/>
      <c r="G100" s="35"/>
      <c r="H100" s="35"/>
      <c r="I100" s="65"/>
      <c r="J100" s="42"/>
      <c r="K100" s="23"/>
      <c r="L100" s="189" t="s">
        <v>431</v>
      </c>
      <c r="M100" s="233"/>
      <c r="N100" s="518" t="s">
        <v>468</v>
      </c>
      <c r="O100" s="518"/>
      <c r="P100" s="35"/>
      <c r="Q100" s="35"/>
      <c r="R100" s="35"/>
      <c r="S100" s="36"/>
    </row>
    <row r="101" spans="2:19" ht="12.75">
      <c r="B101" s="110"/>
      <c r="C101" s="111"/>
      <c r="D101" s="111"/>
      <c r="E101" s="111"/>
      <c r="F101" s="111"/>
      <c r="G101" s="111"/>
      <c r="H101" s="111"/>
      <c r="I101" s="192"/>
      <c r="J101" s="175"/>
      <c r="L101" s="110"/>
      <c r="M101" s="111"/>
      <c r="N101" s="111"/>
      <c r="O101" s="111"/>
      <c r="P101" s="111"/>
      <c r="Q101" s="111"/>
      <c r="R101" s="111"/>
      <c r="S101" s="112"/>
    </row>
    <row r="102" spans="2:19" ht="15">
      <c r="B102" s="228" t="s">
        <v>219</v>
      </c>
      <c r="C102" s="234"/>
      <c r="D102" s="234"/>
      <c r="E102" s="234"/>
      <c r="F102" s="230"/>
      <c r="G102" s="230"/>
      <c r="H102" s="230"/>
      <c r="I102" s="235"/>
      <c r="J102" s="42"/>
      <c r="K102" s="23"/>
      <c r="L102" s="228" t="s">
        <v>219</v>
      </c>
      <c r="M102" s="230"/>
      <c r="N102" s="230"/>
      <c r="O102" s="230"/>
      <c r="P102" s="230"/>
      <c r="Q102" s="230"/>
      <c r="R102" s="230"/>
      <c r="S102" s="236"/>
    </row>
    <row r="103" spans="2:19" ht="14.25">
      <c r="B103" s="237" t="s">
        <v>220</v>
      </c>
      <c r="C103" s="238" t="s">
        <v>258</v>
      </c>
      <c r="D103" s="239"/>
      <c r="E103" s="240"/>
      <c r="F103" s="240" t="s">
        <v>259</v>
      </c>
      <c r="G103" s="397" t="s">
        <v>260</v>
      </c>
      <c r="H103" s="397" t="s">
        <v>261</v>
      </c>
      <c r="I103" s="242" t="s">
        <v>262</v>
      </c>
      <c r="J103" s="42"/>
      <c r="K103" s="23"/>
      <c r="L103" s="243" t="s">
        <v>220</v>
      </c>
      <c r="M103" s="238" t="s">
        <v>258</v>
      </c>
      <c r="N103" s="239"/>
      <c r="O103" s="240"/>
      <c r="P103" s="241" t="s">
        <v>259</v>
      </c>
      <c r="Q103" s="397" t="s">
        <v>260</v>
      </c>
      <c r="R103" s="397" t="s">
        <v>261</v>
      </c>
      <c r="S103" s="244" t="s">
        <v>262</v>
      </c>
    </row>
    <row r="104" spans="2:19" ht="12.75">
      <c r="B104" s="216">
        <v>1</v>
      </c>
      <c r="C104" s="201" t="s">
        <v>195</v>
      </c>
      <c r="D104" s="202"/>
      <c r="E104" s="203"/>
      <c r="F104" s="203">
        <f>cost_50L_bin</f>
        <v>20</v>
      </c>
      <c r="G104" s="396">
        <f>TRUNC(G28/50)+TRUNC(G28/ratio_inf_to_noninf/50)+2</f>
        <v>126</v>
      </c>
      <c r="H104" s="394">
        <f>life_50L_bin</f>
        <v>2</v>
      </c>
      <c r="I104" s="205">
        <f aca="true" t="shared" si="4" ref="I104:I111">((F104*discount_rate)/(1-(1/(1+discount_rate)^H104)))*G104</f>
        <v>1316.9793103448274</v>
      </c>
      <c r="J104" s="175"/>
      <c r="L104" s="200">
        <v>1</v>
      </c>
      <c r="M104" s="201" t="s">
        <v>195</v>
      </c>
      <c r="N104" s="202"/>
      <c r="O104" s="203"/>
      <c r="P104" s="204">
        <f>cost_50L_bin</f>
        <v>20</v>
      </c>
      <c r="Q104" s="396">
        <f>TRUNC(Q28/50)+TRUNC(Q28/ratio_inf_to_noninf/50)+2</f>
        <v>378</v>
      </c>
      <c r="R104" s="394">
        <f>life_50L_bin</f>
        <v>2</v>
      </c>
      <c r="S104" s="458">
        <f aca="true" t="shared" si="5" ref="S104:S111">((P104*discount_rate)/(1-(1/(1+discount_rate)^R104)))*Q104</f>
        <v>3950.937931034482</v>
      </c>
    </row>
    <row r="105" spans="2:19" ht="12.75">
      <c r="B105" s="216">
        <v>2</v>
      </c>
      <c r="C105" s="201" t="s">
        <v>264</v>
      </c>
      <c r="D105" s="202"/>
      <c r="E105" s="203"/>
      <c r="F105" s="203">
        <f>cost_PPE</f>
        <v>35</v>
      </c>
      <c r="G105" s="394">
        <f>ROUND(E13*beds_per_large_A_HCF,0)</f>
        <v>3</v>
      </c>
      <c r="H105" s="394">
        <f>life_PPE</f>
        <v>2</v>
      </c>
      <c r="I105" s="205">
        <f t="shared" si="4"/>
        <v>54.87413793103448</v>
      </c>
      <c r="J105" s="175"/>
      <c r="L105" s="200">
        <v>2</v>
      </c>
      <c r="M105" s="201" t="s">
        <v>264</v>
      </c>
      <c r="N105" s="202"/>
      <c r="O105" s="203"/>
      <c r="P105" s="204">
        <f>cost_PPE</f>
        <v>35</v>
      </c>
      <c r="Q105" s="394">
        <f>ROUND(E13*beds_per_large_B_HCF,0)</f>
        <v>8</v>
      </c>
      <c r="R105" s="394">
        <f>life_PPE</f>
        <v>2</v>
      </c>
      <c r="S105" s="458">
        <f t="shared" si="5"/>
        <v>146.3310344827586</v>
      </c>
    </row>
    <row r="106" spans="2:19" ht="12.75">
      <c r="B106" s="216">
        <v>3</v>
      </c>
      <c r="C106" s="201" t="s">
        <v>197</v>
      </c>
      <c r="D106" s="202"/>
      <c r="E106" s="203"/>
      <c r="F106" s="203">
        <f>cost_240L_wheeled_bin</f>
        <v>45</v>
      </c>
      <c r="G106" s="394">
        <f>ROUND(E13*beds_per_large_A_HCF,0)</f>
        <v>3</v>
      </c>
      <c r="H106" s="394">
        <f>life_240L_wheeled_bin</f>
        <v>4</v>
      </c>
      <c r="I106" s="205">
        <f t="shared" si="4"/>
        <v>36.31865110106616</v>
      </c>
      <c r="J106" s="175"/>
      <c r="L106" s="200">
        <v>3</v>
      </c>
      <c r="M106" s="201" t="s">
        <v>197</v>
      </c>
      <c r="N106" s="202"/>
      <c r="O106" s="203"/>
      <c r="P106" s="204">
        <f>cost_240L_wheeled_bin</f>
        <v>45</v>
      </c>
      <c r="Q106" s="394">
        <f>ROUND(E13*beds_per_large_B_HCF,0)</f>
        <v>8</v>
      </c>
      <c r="R106" s="394">
        <f>life_240L_wheeled_bin</f>
        <v>4</v>
      </c>
      <c r="S106" s="458">
        <f t="shared" si="5"/>
        <v>96.84973626950976</v>
      </c>
    </row>
    <row r="107" spans="2:19" ht="12.75">
      <c r="B107" s="216">
        <v>4</v>
      </c>
      <c r="C107" s="201" t="s">
        <v>198</v>
      </c>
      <c r="D107" s="202"/>
      <c r="E107" s="203"/>
      <c r="F107" s="203">
        <f>cost_large_storage_area</f>
        <v>2000</v>
      </c>
      <c r="G107" s="394">
        <v>1</v>
      </c>
      <c r="H107" s="394">
        <f>life_large_storage_area</f>
        <v>10</v>
      </c>
      <c r="I107" s="205">
        <f t="shared" si="4"/>
        <v>234.46101321031924</v>
      </c>
      <c r="J107" s="175"/>
      <c r="L107" s="200">
        <v>4</v>
      </c>
      <c r="M107" s="201" t="s">
        <v>198</v>
      </c>
      <c r="N107" s="202"/>
      <c r="O107" s="203"/>
      <c r="P107" s="204">
        <f>cost_large_storage_area</f>
        <v>2000</v>
      </c>
      <c r="Q107" s="394">
        <v>1</v>
      </c>
      <c r="R107" s="394">
        <f>life_large_storage_area</f>
        <v>10</v>
      </c>
      <c r="S107" s="458">
        <f t="shared" si="5"/>
        <v>234.46101321031924</v>
      </c>
    </row>
    <row r="108" spans="2:19" ht="12.75">
      <c r="B108" s="216">
        <v>5</v>
      </c>
      <c r="C108" s="201" t="s">
        <v>432</v>
      </c>
      <c r="D108" s="202"/>
      <c r="E108" s="203"/>
      <c r="F108" s="203">
        <f>cost_medium_microwave</f>
        <v>67000</v>
      </c>
      <c r="G108" s="394">
        <v>1</v>
      </c>
      <c r="H108" s="394">
        <f>life_125L_autoclave</f>
        <v>10</v>
      </c>
      <c r="I108" s="205">
        <f t="shared" si="4"/>
        <v>7854.443942545694</v>
      </c>
      <c r="J108" s="175"/>
      <c r="L108" s="200">
        <v>5</v>
      </c>
      <c r="M108" s="201" t="s">
        <v>432</v>
      </c>
      <c r="N108" s="202"/>
      <c r="O108" s="203"/>
      <c r="P108" s="203">
        <f>cost_medium_microwave</f>
        <v>67000</v>
      </c>
      <c r="Q108" s="394">
        <v>2</v>
      </c>
      <c r="R108" s="394">
        <f>life_340L_autoclave</f>
        <v>10</v>
      </c>
      <c r="S108" s="458">
        <f t="shared" si="5"/>
        <v>15708.887885091388</v>
      </c>
    </row>
    <row r="109" spans="2:19" ht="12.75">
      <c r="B109" s="216">
        <v>6</v>
      </c>
      <c r="C109" s="201" t="s">
        <v>364</v>
      </c>
      <c r="D109" s="202"/>
      <c r="E109" s="203"/>
      <c r="F109" s="203">
        <f>cost_medium_shredder</f>
        <v>25000</v>
      </c>
      <c r="G109" s="394">
        <v>1</v>
      </c>
      <c r="H109" s="394">
        <f>life_medium_shredder</f>
        <v>5</v>
      </c>
      <c r="I109" s="205">
        <f t="shared" si="4"/>
        <v>5458.864285014405</v>
      </c>
      <c r="J109" s="175"/>
      <c r="L109" s="200">
        <v>6</v>
      </c>
      <c r="M109" s="201" t="s">
        <v>364</v>
      </c>
      <c r="N109" s="202"/>
      <c r="O109" s="203"/>
      <c r="P109" s="204">
        <f>cost_medium_shredder</f>
        <v>25000</v>
      </c>
      <c r="Q109" s="394">
        <v>1</v>
      </c>
      <c r="R109" s="394">
        <f>life_medium_shredder</f>
        <v>5</v>
      </c>
      <c r="S109" s="458">
        <f t="shared" si="5"/>
        <v>5458.864285014405</v>
      </c>
    </row>
    <row r="110" spans="2:19" ht="12.75">
      <c r="B110" s="216">
        <v>7</v>
      </c>
      <c r="C110" s="201" t="s">
        <v>199</v>
      </c>
      <c r="D110" s="202"/>
      <c r="E110" s="203"/>
      <c r="F110" s="203">
        <f>cost_shelter_treatment_system</f>
        <v>2000</v>
      </c>
      <c r="G110" s="394">
        <v>1</v>
      </c>
      <c r="H110" s="394">
        <f>life_shelter_treatment_system</f>
        <v>10</v>
      </c>
      <c r="I110" s="205">
        <f t="shared" si="4"/>
        <v>234.46101321031924</v>
      </c>
      <c r="J110" s="175"/>
      <c r="L110" s="200">
        <v>7</v>
      </c>
      <c r="M110" s="201" t="s">
        <v>199</v>
      </c>
      <c r="N110" s="202"/>
      <c r="O110" s="203"/>
      <c r="P110" s="204">
        <f>cost_shelter_treatment_system</f>
        <v>2000</v>
      </c>
      <c r="Q110" s="394">
        <v>1</v>
      </c>
      <c r="R110" s="394">
        <f>life_shelter_treatment_system</f>
        <v>10</v>
      </c>
      <c r="S110" s="458">
        <f t="shared" si="5"/>
        <v>234.46101321031924</v>
      </c>
    </row>
    <row r="111" spans="2:19" ht="13.5" thickBot="1">
      <c r="B111" s="218">
        <v>8</v>
      </c>
      <c r="C111" s="207" t="s">
        <v>398</v>
      </c>
      <c r="D111" s="208"/>
      <c r="E111" s="209"/>
      <c r="F111" s="210">
        <f>cost_incubator_kit</f>
        <v>200</v>
      </c>
      <c r="G111" s="395">
        <v>1</v>
      </c>
      <c r="H111" s="395">
        <f>life_incubator_kit</f>
        <v>5</v>
      </c>
      <c r="I111" s="211">
        <f t="shared" si="4"/>
        <v>43.67091428011524</v>
      </c>
      <c r="J111" s="175"/>
      <c r="L111" s="206">
        <v>8</v>
      </c>
      <c r="M111" s="207" t="s">
        <v>398</v>
      </c>
      <c r="N111" s="208"/>
      <c r="O111" s="209"/>
      <c r="P111" s="210">
        <f>cost_incubator_kit</f>
        <v>200</v>
      </c>
      <c r="Q111" s="395">
        <v>1</v>
      </c>
      <c r="R111" s="395">
        <f>life_incubator_kit</f>
        <v>5</v>
      </c>
      <c r="S111" s="459">
        <f t="shared" si="5"/>
        <v>43.67091428011524</v>
      </c>
    </row>
    <row r="112" spans="2:19" ht="15.75" thickTop="1">
      <c r="B112" s="30"/>
      <c r="C112" s="31" t="s">
        <v>144</v>
      </c>
      <c r="D112" s="31"/>
      <c r="E112" s="31"/>
      <c r="F112" s="31"/>
      <c r="G112" s="31"/>
      <c r="H112" s="31"/>
      <c r="I112" s="59">
        <f>SUM(I104:I111)</f>
        <v>15234.073267637781</v>
      </c>
      <c r="J112" s="43"/>
      <c r="K112" s="32"/>
      <c r="L112" s="30"/>
      <c r="M112" s="31" t="s">
        <v>16</v>
      </c>
      <c r="N112" s="31"/>
      <c r="O112" s="31"/>
      <c r="P112" s="31"/>
      <c r="Q112" s="31"/>
      <c r="R112" s="31"/>
      <c r="S112" s="460">
        <f>SUM(S104:S111)</f>
        <v>25874.463812593298</v>
      </c>
    </row>
    <row r="113" spans="2:19" ht="15">
      <c r="B113" s="30"/>
      <c r="C113" s="31" t="s">
        <v>145</v>
      </c>
      <c r="D113" s="31"/>
      <c r="E113" s="31"/>
      <c r="F113" s="31"/>
      <c r="G113" s="31"/>
      <c r="H113" s="31"/>
      <c r="I113" s="59">
        <f>I112*number_large_A_HCFs</f>
        <v>152340.7326763778</v>
      </c>
      <c r="J113" s="43"/>
      <c r="K113" s="32"/>
      <c r="L113" s="30"/>
      <c r="M113" s="31" t="s">
        <v>17</v>
      </c>
      <c r="N113" s="31"/>
      <c r="O113" s="31"/>
      <c r="P113" s="31"/>
      <c r="Q113" s="31"/>
      <c r="R113" s="31"/>
      <c r="S113" s="460">
        <f>S112*number_large_B_HCFs</f>
        <v>129372.31906296649</v>
      </c>
    </row>
    <row r="114" spans="2:19" ht="15">
      <c r="B114" s="228" t="s">
        <v>221</v>
      </c>
      <c r="C114" s="230"/>
      <c r="D114" s="230"/>
      <c r="E114" s="230"/>
      <c r="F114" s="230"/>
      <c r="G114" s="230"/>
      <c r="H114" s="230"/>
      <c r="I114" s="235"/>
      <c r="J114" s="42"/>
      <c r="K114" s="23"/>
      <c r="L114" s="228" t="s">
        <v>221</v>
      </c>
      <c r="M114" s="230"/>
      <c r="N114" s="230"/>
      <c r="O114" s="230"/>
      <c r="P114" s="230"/>
      <c r="Q114" s="230"/>
      <c r="R114" s="230"/>
      <c r="S114" s="236"/>
    </row>
    <row r="115" spans="2:19" ht="14.25">
      <c r="B115" s="243" t="s">
        <v>220</v>
      </c>
      <c r="C115" s="238" t="s">
        <v>258</v>
      </c>
      <c r="D115" s="239"/>
      <c r="E115" s="240"/>
      <c r="F115" s="241" t="s">
        <v>259</v>
      </c>
      <c r="G115" s="397" t="s">
        <v>260</v>
      </c>
      <c r="H115" s="241" t="s">
        <v>149</v>
      </c>
      <c r="I115" s="242" t="s">
        <v>262</v>
      </c>
      <c r="J115" s="42"/>
      <c r="K115" s="23"/>
      <c r="L115" s="243" t="s">
        <v>220</v>
      </c>
      <c r="M115" s="238" t="s">
        <v>258</v>
      </c>
      <c r="N115" s="239"/>
      <c r="O115" s="240"/>
      <c r="P115" s="241" t="s">
        <v>259</v>
      </c>
      <c r="Q115" s="397" t="s">
        <v>260</v>
      </c>
      <c r="R115" s="241" t="s">
        <v>149</v>
      </c>
      <c r="S115" s="244" t="s">
        <v>262</v>
      </c>
    </row>
    <row r="116" spans="2:19" ht="12.75">
      <c r="B116" s="200">
        <v>1</v>
      </c>
      <c r="C116" s="201" t="s">
        <v>415</v>
      </c>
      <c r="D116" s="202"/>
      <c r="E116" s="203"/>
      <c r="F116" s="203">
        <f>cost_5L_plastic_sharps_container</f>
        <v>3.5</v>
      </c>
      <c r="G116" s="396">
        <f>G30/weight_syringe/capacity_safety_box*E10</f>
        <v>912.5</v>
      </c>
      <c r="H116" s="204"/>
      <c r="I116" s="205">
        <f>F116*G116</f>
        <v>3193.75</v>
      </c>
      <c r="J116" s="175"/>
      <c r="L116" s="200">
        <v>1</v>
      </c>
      <c r="M116" s="201" t="s">
        <v>415</v>
      </c>
      <c r="N116" s="202"/>
      <c r="O116" s="203"/>
      <c r="P116" s="203">
        <f>cost_5L_plastic_sharps_container</f>
        <v>3.5</v>
      </c>
      <c r="Q116" s="396">
        <f>Q30/weight_syringe/capacity_safety_box*E10</f>
        <v>2737.5</v>
      </c>
      <c r="R116" s="204"/>
      <c r="S116" s="205">
        <f>P116*Q116</f>
        <v>9581.25</v>
      </c>
    </row>
    <row r="117" spans="2:19" ht="12.75">
      <c r="B117" s="200">
        <v>2</v>
      </c>
      <c r="C117" s="201" t="s">
        <v>226</v>
      </c>
      <c r="D117" s="202"/>
      <c r="E117" s="203"/>
      <c r="F117" s="204">
        <f>cost_50L_plastic_bag</f>
        <v>0.12</v>
      </c>
      <c r="G117" s="394">
        <f>(TRUNC(G28/50)+TRUNC(G28/ratio_inf_to_noninf/50)+2)*E10</f>
        <v>45990</v>
      </c>
      <c r="H117" s="204"/>
      <c r="I117" s="205">
        <f>F117*G117</f>
        <v>5518.8</v>
      </c>
      <c r="J117" s="175"/>
      <c r="L117" s="200">
        <v>2</v>
      </c>
      <c r="M117" s="201" t="s">
        <v>226</v>
      </c>
      <c r="N117" s="202"/>
      <c r="O117" s="203"/>
      <c r="P117" s="204">
        <f>cost_50L_plastic_bag</f>
        <v>0.12</v>
      </c>
      <c r="Q117" s="394">
        <f>(TRUNC(Q28/50)+TRUNC(Q28/ratio_inf_to_noninf/50)+2)*E10</f>
        <v>137970</v>
      </c>
      <c r="R117" s="204"/>
      <c r="S117" s="458">
        <f>P117*Q117</f>
        <v>16556.399999999998</v>
      </c>
    </row>
    <row r="118" spans="2:19" ht="12.75">
      <c r="B118" s="200">
        <v>3</v>
      </c>
      <c r="C118" s="201" t="s">
        <v>270</v>
      </c>
      <c r="D118" s="202"/>
      <c r="E118" s="203"/>
      <c r="F118" s="204">
        <f>E15</f>
        <v>0.08</v>
      </c>
      <c r="G118" s="396">
        <f>(TRUNC(G28/103)+1)*kWh_per_cycle_medium_microwave+kWh_per_liter_medium_shredder*G28</f>
        <v>18.666666666666668</v>
      </c>
      <c r="H118" s="204" t="s">
        <v>440</v>
      </c>
      <c r="I118" s="205">
        <f>F118*G118*E10</f>
        <v>545.0666666666667</v>
      </c>
      <c r="J118" s="175"/>
      <c r="L118" s="200">
        <v>3</v>
      </c>
      <c r="M118" s="201" t="s">
        <v>270</v>
      </c>
      <c r="N118" s="202"/>
      <c r="O118" s="203"/>
      <c r="P118" s="204">
        <f>E15</f>
        <v>0.08</v>
      </c>
      <c r="Q118" s="396">
        <f>(TRUNC(Q28/103)+1)*kWh_per_cycle_medium_microwave+kWh_per_liter_medium_shredder*Q28</f>
        <v>53</v>
      </c>
      <c r="R118" s="204" t="s">
        <v>440</v>
      </c>
      <c r="S118" s="458">
        <f>P118*Q118*E10</f>
        <v>1547.6000000000001</v>
      </c>
    </row>
    <row r="119" spans="2:19" ht="12.75">
      <c r="B119" s="200">
        <v>4</v>
      </c>
      <c r="C119" s="201" t="s">
        <v>272</v>
      </c>
      <c r="D119" s="202"/>
      <c r="E119" s="203"/>
      <c r="F119" s="204">
        <f>Cost_water_sewage</f>
        <v>0.5</v>
      </c>
      <c r="G119" s="394">
        <f>(TRUNC(G28/103)+1)*water_use_medium_microwave</f>
        <v>90</v>
      </c>
      <c r="H119" s="204" t="s">
        <v>208</v>
      </c>
      <c r="I119" s="205">
        <f>F119/1000*G119*E10</f>
        <v>16.425</v>
      </c>
      <c r="J119" s="175"/>
      <c r="L119" s="200">
        <v>4</v>
      </c>
      <c r="M119" s="201" t="s">
        <v>272</v>
      </c>
      <c r="N119" s="202"/>
      <c r="O119" s="203"/>
      <c r="P119" s="204">
        <f>Cost_water_sewage</f>
        <v>0.5</v>
      </c>
      <c r="Q119" s="394">
        <f>(TRUNC(Q28/103)+1)*water_use_medium_microwave</f>
        <v>250</v>
      </c>
      <c r="R119" s="204" t="s">
        <v>208</v>
      </c>
      <c r="S119" s="458">
        <f>P119/1000*Q119*E10</f>
        <v>45.625</v>
      </c>
    </row>
    <row r="120" spans="2:19" ht="12.75">
      <c r="B120" s="200">
        <v>5</v>
      </c>
      <c r="C120" s="462" t="s">
        <v>400</v>
      </c>
      <c r="D120" s="463"/>
      <c r="E120" s="464"/>
      <c r="F120" s="204">
        <f>annual_cost_validation_testing</f>
        <v>45</v>
      </c>
      <c r="G120" s="394"/>
      <c r="H120" s="204" t="s">
        <v>155</v>
      </c>
      <c r="I120" s="205">
        <f>F120</f>
        <v>45</v>
      </c>
      <c r="J120" s="175"/>
      <c r="L120" s="200">
        <v>5</v>
      </c>
      <c r="M120" s="462" t="s">
        <v>400</v>
      </c>
      <c r="N120" s="463"/>
      <c r="O120" s="464"/>
      <c r="P120" s="204">
        <f>annual_cost_validation_testing</f>
        <v>45</v>
      </c>
      <c r="Q120" s="394"/>
      <c r="R120" s="204" t="s">
        <v>155</v>
      </c>
      <c r="S120" s="467">
        <f>P120</f>
        <v>45</v>
      </c>
    </row>
    <row r="121" spans="2:19" ht="12.75">
      <c r="B121" s="200">
        <v>6</v>
      </c>
      <c r="C121" s="201" t="s">
        <v>137</v>
      </c>
      <c r="D121" s="202"/>
      <c r="E121" s="203"/>
      <c r="F121" s="204">
        <f>E12</f>
        <v>40</v>
      </c>
      <c r="G121" s="394">
        <f>E13*beds_per_large_A_HCF</f>
        <v>2.5</v>
      </c>
      <c r="H121" s="204"/>
      <c r="I121" s="205">
        <f>F121*G121*E10</f>
        <v>36500</v>
      </c>
      <c r="J121" s="175"/>
      <c r="L121" s="200">
        <v>6</v>
      </c>
      <c r="M121" s="201" t="s">
        <v>137</v>
      </c>
      <c r="N121" s="202"/>
      <c r="O121" s="203"/>
      <c r="P121" s="204">
        <f>E12</f>
        <v>40</v>
      </c>
      <c r="Q121" s="394">
        <f>E13*beds_per_large_B_HCF</f>
        <v>7.5</v>
      </c>
      <c r="R121" s="204"/>
      <c r="S121" s="458">
        <f>P121*Q121*E10</f>
        <v>109500</v>
      </c>
    </row>
    <row r="122" spans="2:19" ht="12.75">
      <c r="B122" s="200">
        <v>7</v>
      </c>
      <c r="C122" s="201" t="s">
        <v>139</v>
      </c>
      <c r="D122" s="202"/>
      <c r="E122" s="203"/>
      <c r="F122" s="204">
        <f>E14</f>
        <v>80</v>
      </c>
      <c r="G122" s="394">
        <v>1</v>
      </c>
      <c r="H122" s="204" t="s">
        <v>141</v>
      </c>
      <c r="I122" s="205">
        <f>F122*G122*E10</f>
        <v>29200</v>
      </c>
      <c r="J122" s="175"/>
      <c r="L122" s="200">
        <v>7</v>
      </c>
      <c r="M122" s="201" t="s">
        <v>139</v>
      </c>
      <c r="N122" s="202"/>
      <c r="O122" s="203"/>
      <c r="P122" s="204">
        <f>E14</f>
        <v>80</v>
      </c>
      <c r="Q122" s="394">
        <v>1</v>
      </c>
      <c r="R122" s="204" t="s">
        <v>141</v>
      </c>
      <c r="S122" s="458">
        <f>P122*Q122*E10</f>
        <v>29200</v>
      </c>
    </row>
    <row r="123" spans="2:19" ht="12.75">
      <c r="B123" s="200">
        <v>8</v>
      </c>
      <c r="C123" s="201" t="s">
        <v>277</v>
      </c>
      <c r="D123" s="202"/>
      <c r="E123" s="203"/>
      <c r="F123" s="204"/>
      <c r="G123" s="394">
        <f>maintenance_frax_cap_cost*100</f>
        <v>10</v>
      </c>
      <c r="H123" s="204" t="s">
        <v>279</v>
      </c>
      <c r="I123" s="205">
        <f>I112*maintenance_frax_cap_cost</f>
        <v>1523.4073267637782</v>
      </c>
      <c r="J123" s="175"/>
      <c r="L123" s="200">
        <v>8</v>
      </c>
      <c r="M123" s="201" t="s">
        <v>277</v>
      </c>
      <c r="N123" s="202"/>
      <c r="O123" s="203"/>
      <c r="P123" s="204"/>
      <c r="Q123" s="394">
        <f>maintenance_frax_cap_cost*100</f>
        <v>10</v>
      </c>
      <c r="R123" s="204" t="s">
        <v>279</v>
      </c>
      <c r="S123" s="458">
        <f>S112*maintenance_frax_cap_cost</f>
        <v>2587.44638125933</v>
      </c>
    </row>
    <row r="124" spans="2:19" ht="12.75">
      <c r="B124" s="488">
        <v>9</v>
      </c>
      <c r="C124" s="455" t="s">
        <v>414</v>
      </c>
      <c r="D124" s="252"/>
      <c r="E124" s="212"/>
      <c r="F124" s="176">
        <f>E18+E19</f>
        <v>65</v>
      </c>
      <c r="G124" s="456">
        <f>((E7*(1+1/ratio_inf_to_noninf)+E9)*beds_per_large_A_HCF*E10+G116*weight_5L_plastic_sharps_container)/1000</f>
        <v>345.1285576923077</v>
      </c>
      <c r="H124" s="176" t="s">
        <v>72</v>
      </c>
      <c r="I124" s="457">
        <f>F124*G124</f>
        <v>22433.35625</v>
      </c>
      <c r="J124" s="175"/>
      <c r="L124" s="488">
        <v>9</v>
      </c>
      <c r="M124" s="455" t="s">
        <v>414</v>
      </c>
      <c r="N124" s="252"/>
      <c r="O124" s="212"/>
      <c r="P124" s="176">
        <f>E18+E19</f>
        <v>65</v>
      </c>
      <c r="Q124" s="456">
        <f>((E7*(1+1/ratio_inf_to_noninf)+E9)*beds_per_large_B_HCF*E10+Q116*weight_5L_plastic_sharps_container)/1000</f>
        <v>1035.385673076923</v>
      </c>
      <c r="R124" s="176" t="s">
        <v>72</v>
      </c>
      <c r="S124" s="457">
        <f>P124*Q124</f>
        <v>67300.06874999999</v>
      </c>
    </row>
    <row r="125" spans="2:19" ht="12.75">
      <c r="B125" s="488">
        <v>10</v>
      </c>
      <c r="C125" s="455" t="s">
        <v>430</v>
      </c>
      <c r="D125" s="252"/>
      <c r="E125" s="212"/>
      <c r="F125" s="212">
        <f>E20</f>
        <v>2.5</v>
      </c>
      <c r="G125" s="456">
        <f>G29*E10</f>
        <v>7019.230769230769</v>
      </c>
      <c r="H125" s="176" t="s">
        <v>74</v>
      </c>
      <c r="I125" s="457">
        <f>F125*G125</f>
        <v>17548.076923076922</v>
      </c>
      <c r="J125" s="175"/>
      <c r="L125" s="488">
        <v>10</v>
      </c>
      <c r="M125" s="455" t="s">
        <v>430</v>
      </c>
      <c r="N125" s="252"/>
      <c r="O125" s="212"/>
      <c r="P125" s="212">
        <f>E20</f>
        <v>2.5</v>
      </c>
      <c r="Q125" s="456">
        <f>Q29*E10</f>
        <v>21057.692307692305</v>
      </c>
      <c r="R125" s="176" t="s">
        <v>74</v>
      </c>
      <c r="S125" s="457">
        <f>P125*Q125</f>
        <v>52644.230769230766</v>
      </c>
    </row>
    <row r="126" spans="2:19" ht="13.5" thickBot="1">
      <c r="B126" s="206">
        <v>11</v>
      </c>
      <c r="C126" s="207" t="s">
        <v>280</v>
      </c>
      <c r="D126" s="208"/>
      <c r="E126" s="209"/>
      <c r="F126" s="210">
        <f>E17</f>
        <v>10</v>
      </c>
      <c r="G126" s="395">
        <f>beds_per_large_A_HCF*E16</f>
        <v>50</v>
      </c>
      <c r="H126" s="210"/>
      <c r="I126" s="211">
        <f>F126*G126</f>
        <v>500</v>
      </c>
      <c r="J126" s="175"/>
      <c r="L126" s="206">
        <v>11</v>
      </c>
      <c r="M126" s="207" t="s">
        <v>280</v>
      </c>
      <c r="N126" s="208"/>
      <c r="O126" s="209"/>
      <c r="P126" s="210">
        <f>E17</f>
        <v>10</v>
      </c>
      <c r="Q126" s="395">
        <f>beds_per_large_B_HCF*E16</f>
        <v>150</v>
      </c>
      <c r="R126" s="210"/>
      <c r="S126" s="459">
        <f>P126*Q126</f>
        <v>1500</v>
      </c>
    </row>
    <row r="127" spans="2:19" ht="15.75" thickTop="1">
      <c r="B127" s="30"/>
      <c r="C127" s="31" t="s">
        <v>146</v>
      </c>
      <c r="D127" s="31"/>
      <c r="E127" s="31"/>
      <c r="F127" s="31"/>
      <c r="G127" s="31"/>
      <c r="H127" s="31"/>
      <c r="I127" s="59">
        <f>SUM(I116:I126)</f>
        <v>117023.88216650735</v>
      </c>
      <c r="J127" s="43"/>
      <c r="K127" s="32"/>
      <c r="L127" s="30"/>
      <c r="M127" s="31" t="s">
        <v>18</v>
      </c>
      <c r="N127" s="31"/>
      <c r="O127" s="31"/>
      <c r="P127" s="31"/>
      <c r="Q127" s="31"/>
      <c r="R127" s="31"/>
      <c r="S127" s="460">
        <f>SUM(S116:S126)</f>
        <v>290507.6209004901</v>
      </c>
    </row>
    <row r="128" spans="2:19" ht="15.75" thickBot="1">
      <c r="B128" s="33"/>
      <c r="C128" s="34" t="s">
        <v>147</v>
      </c>
      <c r="D128" s="34"/>
      <c r="E128" s="34"/>
      <c r="F128" s="34"/>
      <c r="G128" s="34"/>
      <c r="H128" s="34"/>
      <c r="I128" s="514">
        <f>I127*number_large_A_HCFs</f>
        <v>1170238.8216650735</v>
      </c>
      <c r="J128" s="43"/>
      <c r="K128" s="32"/>
      <c r="L128" s="33"/>
      <c r="M128" s="34" t="s">
        <v>19</v>
      </c>
      <c r="N128" s="34"/>
      <c r="O128" s="34"/>
      <c r="P128" s="34"/>
      <c r="Q128" s="34"/>
      <c r="R128" s="34"/>
      <c r="S128" s="515">
        <f>S127*number_large_B_HCFs</f>
        <v>1452538.1045024504</v>
      </c>
    </row>
    <row r="129" ht="13.5" thickBot="1"/>
    <row r="130" spans="2:19" ht="15">
      <c r="B130" s="189" t="s">
        <v>460</v>
      </c>
      <c r="C130" s="190"/>
      <c r="D130" s="518" t="s">
        <v>469</v>
      </c>
      <c r="E130" s="518"/>
      <c r="F130" s="518"/>
      <c r="G130" s="35"/>
      <c r="H130" s="35"/>
      <c r="I130" s="65"/>
      <c r="J130" s="42"/>
      <c r="K130" s="23"/>
      <c r="L130" s="189" t="s">
        <v>460</v>
      </c>
      <c r="M130" s="233"/>
      <c r="N130" s="518" t="s">
        <v>469</v>
      </c>
      <c r="O130" s="518"/>
      <c r="P130" s="518"/>
      <c r="Q130" s="35"/>
      <c r="R130" s="35"/>
      <c r="S130" s="36"/>
    </row>
    <row r="131" spans="2:19" ht="12.75">
      <c r="B131" s="110"/>
      <c r="C131" s="111"/>
      <c r="D131" s="111"/>
      <c r="E131" s="111"/>
      <c r="F131" s="111"/>
      <c r="G131" s="111"/>
      <c r="H131" s="111"/>
      <c r="I131" s="192"/>
      <c r="J131" s="175"/>
      <c r="L131" s="110"/>
      <c r="M131" s="111"/>
      <c r="N131" s="111"/>
      <c r="O131" s="111"/>
      <c r="P131" s="111"/>
      <c r="Q131" s="111"/>
      <c r="R131" s="111"/>
      <c r="S131" s="112"/>
    </row>
    <row r="132" spans="2:19" ht="15">
      <c r="B132" s="228" t="s">
        <v>219</v>
      </c>
      <c r="C132" s="234"/>
      <c r="D132" s="234"/>
      <c r="E132" s="234"/>
      <c r="F132" s="230"/>
      <c r="G132" s="230"/>
      <c r="H132" s="230"/>
      <c r="I132" s="235"/>
      <c r="J132" s="42"/>
      <c r="K132" s="23"/>
      <c r="L132" s="228" t="s">
        <v>219</v>
      </c>
      <c r="M132" s="230"/>
      <c r="N132" s="230"/>
      <c r="O132" s="230"/>
      <c r="P132" s="230"/>
      <c r="Q132" s="230"/>
      <c r="R132" s="230"/>
      <c r="S132" s="236"/>
    </row>
    <row r="133" spans="2:19" ht="14.25">
      <c r="B133" s="237" t="s">
        <v>220</v>
      </c>
      <c r="C133" s="238" t="s">
        <v>258</v>
      </c>
      <c r="D133" s="239"/>
      <c r="E133" s="240"/>
      <c r="F133" s="240" t="s">
        <v>259</v>
      </c>
      <c r="G133" s="397" t="s">
        <v>260</v>
      </c>
      <c r="H133" s="397" t="s">
        <v>261</v>
      </c>
      <c r="I133" s="242" t="s">
        <v>262</v>
      </c>
      <c r="J133" s="42"/>
      <c r="K133" s="23"/>
      <c r="L133" s="243" t="s">
        <v>220</v>
      </c>
      <c r="M133" s="238" t="s">
        <v>258</v>
      </c>
      <c r="N133" s="239"/>
      <c r="O133" s="240"/>
      <c r="P133" s="241" t="s">
        <v>259</v>
      </c>
      <c r="Q133" s="397" t="s">
        <v>260</v>
      </c>
      <c r="R133" s="397" t="s">
        <v>261</v>
      </c>
      <c r="S133" s="244" t="s">
        <v>262</v>
      </c>
    </row>
    <row r="134" spans="2:19" ht="12.75">
      <c r="B134" s="216">
        <v>1</v>
      </c>
      <c r="C134" s="201" t="s">
        <v>195</v>
      </c>
      <c r="D134" s="202"/>
      <c r="E134" s="203"/>
      <c r="F134" s="203">
        <f>cost_50L_bin</f>
        <v>20</v>
      </c>
      <c r="G134" s="396">
        <f>TRUNC(G28/50)+TRUNC(G28/ratio_inf_to_noninf/50)+2</f>
        <v>126</v>
      </c>
      <c r="H134" s="394">
        <f>life_50L_bin</f>
        <v>2</v>
      </c>
      <c r="I134" s="205">
        <f aca="true" t="shared" si="6" ref="I134:I140">((F134*discount_rate)/(1-(1/(1+discount_rate)^H134)))*G134</f>
        <v>1316.9793103448274</v>
      </c>
      <c r="J134" s="175"/>
      <c r="L134" s="200">
        <v>1</v>
      </c>
      <c r="M134" s="201" t="s">
        <v>195</v>
      </c>
      <c r="N134" s="202"/>
      <c r="O134" s="203"/>
      <c r="P134" s="204">
        <f>cost_50L_bin</f>
        <v>20</v>
      </c>
      <c r="Q134" s="396">
        <f>TRUNC(Q28/50)+TRUNC(Q28/ratio_inf_to_noninf/50)+2</f>
        <v>378</v>
      </c>
      <c r="R134" s="394">
        <f>life_50L_bin</f>
        <v>2</v>
      </c>
      <c r="S134" s="458">
        <f aca="true" t="shared" si="7" ref="S134:S140">((P134*discount_rate)/(1-(1/(1+discount_rate)^R134)))*Q134</f>
        <v>3950.937931034482</v>
      </c>
    </row>
    <row r="135" spans="2:19" ht="12.75">
      <c r="B135" s="216">
        <v>2</v>
      </c>
      <c r="C135" s="201" t="s">
        <v>264</v>
      </c>
      <c r="D135" s="202"/>
      <c r="E135" s="203"/>
      <c r="F135" s="203">
        <f>cost_PPE</f>
        <v>35</v>
      </c>
      <c r="G135" s="394">
        <f>ROUND(E13*beds_per_large_A_HCF,0)</f>
        <v>3</v>
      </c>
      <c r="H135" s="394">
        <f>life_PPE</f>
        <v>2</v>
      </c>
      <c r="I135" s="205">
        <f t="shared" si="6"/>
        <v>54.87413793103448</v>
      </c>
      <c r="J135" s="175"/>
      <c r="L135" s="200">
        <v>2</v>
      </c>
      <c r="M135" s="201" t="s">
        <v>264</v>
      </c>
      <c r="N135" s="202"/>
      <c r="O135" s="203"/>
      <c r="P135" s="204">
        <f>cost_PPE</f>
        <v>35</v>
      </c>
      <c r="Q135" s="394">
        <f>ROUND(E13*beds_per_large_B_HCF,0)</f>
        <v>8</v>
      </c>
      <c r="R135" s="394">
        <f>life_PPE</f>
        <v>2</v>
      </c>
      <c r="S135" s="458">
        <f t="shared" si="7"/>
        <v>146.3310344827586</v>
      </c>
    </row>
    <row r="136" spans="2:19" ht="12.75">
      <c r="B136" s="216">
        <v>3</v>
      </c>
      <c r="C136" s="201" t="s">
        <v>197</v>
      </c>
      <c r="D136" s="202"/>
      <c r="E136" s="203"/>
      <c r="F136" s="203">
        <f>cost_240L_wheeled_bin</f>
        <v>45</v>
      </c>
      <c r="G136" s="394">
        <f>ROUND(E13*beds_per_large_A_HCF,0)</f>
        <v>3</v>
      </c>
      <c r="H136" s="394">
        <f>life_240L_wheeled_bin</f>
        <v>4</v>
      </c>
      <c r="I136" s="205">
        <f t="shared" si="6"/>
        <v>36.31865110106616</v>
      </c>
      <c r="J136" s="175"/>
      <c r="L136" s="200">
        <v>3</v>
      </c>
      <c r="M136" s="201" t="s">
        <v>197</v>
      </c>
      <c r="N136" s="202"/>
      <c r="O136" s="203"/>
      <c r="P136" s="204">
        <f>cost_240L_wheeled_bin</f>
        <v>45</v>
      </c>
      <c r="Q136" s="394">
        <f>ROUND(E13*beds_per_large_B_HCF,0)</f>
        <v>8</v>
      </c>
      <c r="R136" s="394">
        <f>life_240L_wheeled_bin</f>
        <v>4</v>
      </c>
      <c r="S136" s="458">
        <f t="shared" si="7"/>
        <v>96.84973626950976</v>
      </c>
    </row>
    <row r="137" spans="2:19" ht="12.75">
      <c r="B137" s="216">
        <v>4</v>
      </c>
      <c r="C137" s="201" t="s">
        <v>198</v>
      </c>
      <c r="D137" s="202"/>
      <c r="E137" s="203"/>
      <c r="F137" s="203">
        <f>cost_large_storage_area</f>
        <v>2000</v>
      </c>
      <c r="G137" s="394">
        <v>1</v>
      </c>
      <c r="H137" s="394">
        <f>life_large_storage_area</f>
        <v>10</v>
      </c>
      <c r="I137" s="205">
        <f t="shared" si="6"/>
        <v>234.46101321031924</v>
      </c>
      <c r="J137" s="175"/>
      <c r="L137" s="200">
        <v>4</v>
      </c>
      <c r="M137" s="201" t="s">
        <v>198</v>
      </c>
      <c r="N137" s="202"/>
      <c r="O137" s="203"/>
      <c r="P137" s="204">
        <f>cost_large_storage_area</f>
        <v>2000</v>
      </c>
      <c r="Q137" s="394">
        <v>1</v>
      </c>
      <c r="R137" s="394">
        <f>life_large_storage_area</f>
        <v>10</v>
      </c>
      <c r="S137" s="458">
        <f t="shared" si="7"/>
        <v>234.46101321031924</v>
      </c>
    </row>
    <row r="138" spans="2:19" ht="12.75">
      <c r="B138" s="216">
        <v>5</v>
      </c>
      <c r="C138" s="201" t="s">
        <v>484</v>
      </c>
      <c r="D138" s="202"/>
      <c r="E138" s="203"/>
      <c r="F138" s="203">
        <f>cost_advanced_steam_300liter_per_cycle</f>
        <v>214000</v>
      </c>
      <c r="G138" s="394">
        <v>1</v>
      </c>
      <c r="H138" s="394">
        <f>life_advanced_steam_300liters_per_cycle</f>
        <v>10</v>
      </c>
      <c r="I138" s="205">
        <f t="shared" si="6"/>
        <v>25087.328413504158</v>
      </c>
      <c r="J138" s="175"/>
      <c r="L138" s="200">
        <v>5</v>
      </c>
      <c r="M138" s="201" t="s">
        <v>485</v>
      </c>
      <c r="N138" s="202"/>
      <c r="O138" s="203"/>
      <c r="P138" s="203">
        <f>cost_advanced_steam_1000liters_per_cycle</f>
        <v>407000</v>
      </c>
      <c r="Q138" s="394">
        <v>1</v>
      </c>
      <c r="R138" s="394">
        <f>life_advanced_steam_1000liters_per_cycle</f>
        <v>10</v>
      </c>
      <c r="S138" s="458">
        <f t="shared" si="7"/>
        <v>47712.81618829996</v>
      </c>
    </row>
    <row r="139" spans="2:19" ht="12.75">
      <c r="B139" s="216">
        <v>6</v>
      </c>
      <c r="C139" s="201" t="s">
        <v>199</v>
      </c>
      <c r="D139" s="202"/>
      <c r="E139" s="203"/>
      <c r="F139" s="203">
        <f>cost_shelter_treatment_system</f>
        <v>2000</v>
      </c>
      <c r="G139" s="394">
        <v>1</v>
      </c>
      <c r="H139" s="394">
        <f>life_shelter_treatment_system</f>
        <v>10</v>
      </c>
      <c r="I139" s="205">
        <f t="shared" si="6"/>
        <v>234.46101321031924</v>
      </c>
      <c r="J139" s="175"/>
      <c r="L139" s="200">
        <v>6</v>
      </c>
      <c r="M139" s="201" t="s">
        <v>199</v>
      </c>
      <c r="N139" s="202"/>
      <c r="O139" s="203"/>
      <c r="P139" s="204">
        <f>cost_shelter_treatment_system</f>
        <v>2000</v>
      </c>
      <c r="Q139" s="394">
        <v>1</v>
      </c>
      <c r="R139" s="394">
        <f>life_shelter_treatment_system</f>
        <v>10</v>
      </c>
      <c r="S139" s="458">
        <f t="shared" si="7"/>
        <v>234.46101321031924</v>
      </c>
    </row>
    <row r="140" spans="2:19" ht="13.5" thickBot="1">
      <c r="B140" s="218">
        <v>7</v>
      </c>
      <c r="C140" s="207" t="s">
        <v>398</v>
      </c>
      <c r="D140" s="208"/>
      <c r="E140" s="209"/>
      <c r="F140" s="210">
        <f>cost_incubator_kit</f>
        <v>200</v>
      </c>
      <c r="G140" s="395">
        <v>1</v>
      </c>
      <c r="H140" s="395">
        <f>life_incubator_kit</f>
        <v>5</v>
      </c>
      <c r="I140" s="211">
        <f t="shared" si="6"/>
        <v>43.67091428011524</v>
      </c>
      <c r="J140" s="175"/>
      <c r="L140" s="206">
        <v>7</v>
      </c>
      <c r="M140" s="207" t="s">
        <v>398</v>
      </c>
      <c r="N140" s="208"/>
      <c r="O140" s="209"/>
      <c r="P140" s="210">
        <f>cost_incubator_kit</f>
        <v>200</v>
      </c>
      <c r="Q140" s="395">
        <v>1</v>
      </c>
      <c r="R140" s="395">
        <f>life_incubator_kit</f>
        <v>5</v>
      </c>
      <c r="S140" s="459">
        <f t="shared" si="7"/>
        <v>43.67091428011524</v>
      </c>
    </row>
    <row r="141" spans="2:19" ht="15.75" thickTop="1">
      <c r="B141" s="30"/>
      <c r="C141" s="31" t="s">
        <v>144</v>
      </c>
      <c r="D141" s="31"/>
      <c r="E141" s="31"/>
      <c r="F141" s="31"/>
      <c r="G141" s="31"/>
      <c r="H141" s="31"/>
      <c r="I141" s="59">
        <f>SUM(I134:I140)</f>
        <v>27008.093453581838</v>
      </c>
      <c r="J141" s="43"/>
      <c r="K141" s="32"/>
      <c r="L141" s="30"/>
      <c r="M141" s="31" t="s">
        <v>16</v>
      </c>
      <c r="N141" s="31"/>
      <c r="O141" s="31"/>
      <c r="P141" s="31"/>
      <c r="Q141" s="31"/>
      <c r="R141" s="31"/>
      <c r="S141" s="460">
        <f>SUM(S134:S140)</f>
        <v>52419.52783078746</v>
      </c>
    </row>
    <row r="142" spans="2:19" ht="15">
      <c r="B142" s="30"/>
      <c r="C142" s="31" t="s">
        <v>145</v>
      </c>
      <c r="D142" s="31"/>
      <c r="E142" s="31"/>
      <c r="F142" s="31"/>
      <c r="G142" s="31"/>
      <c r="H142" s="31"/>
      <c r="I142" s="59">
        <f>I141*number_large_A_HCFs</f>
        <v>270080.9345358184</v>
      </c>
      <c r="J142" s="43"/>
      <c r="K142" s="32"/>
      <c r="L142" s="30"/>
      <c r="M142" s="31" t="s">
        <v>17</v>
      </c>
      <c r="N142" s="31"/>
      <c r="O142" s="31"/>
      <c r="P142" s="31"/>
      <c r="Q142" s="31"/>
      <c r="R142" s="31"/>
      <c r="S142" s="460">
        <f>S141*number_large_B_HCFs</f>
        <v>262097.6391539373</v>
      </c>
    </row>
    <row r="143" spans="2:19" ht="15">
      <c r="B143" s="228" t="s">
        <v>221</v>
      </c>
      <c r="C143" s="230"/>
      <c r="D143" s="230"/>
      <c r="E143" s="230"/>
      <c r="F143" s="230"/>
      <c r="G143" s="230"/>
      <c r="H143" s="230"/>
      <c r="I143" s="235"/>
      <c r="J143" s="42"/>
      <c r="K143" s="23"/>
      <c r="L143" s="228" t="s">
        <v>221</v>
      </c>
      <c r="M143" s="230"/>
      <c r="N143" s="230"/>
      <c r="O143" s="230"/>
      <c r="P143" s="230"/>
      <c r="Q143" s="230"/>
      <c r="R143" s="230"/>
      <c r="S143" s="236"/>
    </row>
    <row r="144" spans="2:19" ht="14.25">
      <c r="B144" s="243" t="s">
        <v>220</v>
      </c>
      <c r="C144" s="238" t="s">
        <v>258</v>
      </c>
      <c r="D144" s="239"/>
      <c r="E144" s="240"/>
      <c r="F144" s="241" t="s">
        <v>259</v>
      </c>
      <c r="G144" s="397" t="s">
        <v>260</v>
      </c>
      <c r="H144" s="241" t="s">
        <v>149</v>
      </c>
      <c r="I144" s="242" t="s">
        <v>262</v>
      </c>
      <c r="J144" s="42"/>
      <c r="K144" s="23"/>
      <c r="L144" s="243" t="s">
        <v>220</v>
      </c>
      <c r="M144" s="238" t="s">
        <v>258</v>
      </c>
      <c r="N144" s="239"/>
      <c r="O144" s="240"/>
      <c r="P144" s="241" t="s">
        <v>259</v>
      </c>
      <c r="Q144" s="397" t="s">
        <v>260</v>
      </c>
      <c r="R144" s="241" t="s">
        <v>149</v>
      </c>
      <c r="S144" s="244" t="s">
        <v>262</v>
      </c>
    </row>
    <row r="145" spans="2:19" ht="12.75">
      <c r="B145" s="200">
        <v>1</v>
      </c>
      <c r="C145" s="201" t="s">
        <v>415</v>
      </c>
      <c r="D145" s="202"/>
      <c r="E145" s="203"/>
      <c r="F145" s="203">
        <f>cost_5L_plastic_sharps_container</f>
        <v>3.5</v>
      </c>
      <c r="G145" s="396">
        <f>G30/weight_syringe/capacity_safety_box*E10</f>
        <v>912.5</v>
      </c>
      <c r="H145" s="204"/>
      <c r="I145" s="205">
        <f>F145*G145</f>
        <v>3193.75</v>
      </c>
      <c r="J145" s="175"/>
      <c r="L145" s="200">
        <v>1</v>
      </c>
      <c r="M145" s="201" t="s">
        <v>415</v>
      </c>
      <c r="N145" s="202"/>
      <c r="O145" s="203"/>
      <c r="P145" s="203">
        <f>cost_5L_plastic_sharps_container</f>
        <v>3.5</v>
      </c>
      <c r="Q145" s="396">
        <f>Q30/weight_syringe/capacity_safety_box*E10</f>
        <v>2737.5</v>
      </c>
      <c r="R145" s="204"/>
      <c r="S145" s="205">
        <f>P145*Q145</f>
        <v>9581.25</v>
      </c>
    </row>
    <row r="146" spans="2:19" ht="12.75">
      <c r="B146" s="200">
        <v>2</v>
      </c>
      <c r="C146" s="201" t="s">
        <v>226</v>
      </c>
      <c r="D146" s="202"/>
      <c r="E146" s="203"/>
      <c r="F146" s="204">
        <f>cost_50L_plastic_bag</f>
        <v>0.12</v>
      </c>
      <c r="G146" s="394">
        <f>(TRUNC(G28/50)+TRUNC(G28/ratio_inf_to_noninf/50)+2)*E10</f>
        <v>45990</v>
      </c>
      <c r="H146" s="204"/>
      <c r="I146" s="205">
        <f>F146*G146</f>
        <v>5518.8</v>
      </c>
      <c r="J146" s="175"/>
      <c r="L146" s="200">
        <v>2</v>
      </c>
      <c r="M146" s="201" t="s">
        <v>226</v>
      </c>
      <c r="N146" s="202"/>
      <c r="O146" s="203"/>
      <c r="P146" s="204">
        <f>cost_50L_plastic_bag</f>
        <v>0.12</v>
      </c>
      <c r="Q146" s="394">
        <f>(TRUNC(Q28/50)+TRUNC(Q28/ratio_inf_to_noninf/50)+2)*E10</f>
        <v>137970</v>
      </c>
      <c r="R146" s="204"/>
      <c r="S146" s="458">
        <f>P146*Q146</f>
        <v>16556.399999999998</v>
      </c>
    </row>
    <row r="147" spans="2:19" ht="12.75">
      <c r="B147" s="200">
        <v>3</v>
      </c>
      <c r="C147" s="201" t="s">
        <v>270</v>
      </c>
      <c r="D147" s="202"/>
      <c r="E147" s="203"/>
      <c r="F147" s="204">
        <f>E15</f>
        <v>0.08</v>
      </c>
      <c r="G147" s="396">
        <f>(TRUNC(G28/300)+1)*kWh_per_cycle_advanced_steam_300L</f>
        <v>54</v>
      </c>
      <c r="H147" s="204" t="s">
        <v>440</v>
      </c>
      <c r="I147" s="205">
        <f>F147*G147*E10</f>
        <v>1576.8000000000002</v>
      </c>
      <c r="J147" s="175"/>
      <c r="L147" s="200">
        <v>3</v>
      </c>
      <c r="M147" s="201" t="s">
        <v>270</v>
      </c>
      <c r="N147" s="202"/>
      <c r="O147" s="203"/>
      <c r="P147" s="204">
        <f>E15</f>
        <v>0.08</v>
      </c>
      <c r="Q147" s="396">
        <f>(TRUNC(Q28/1000)+1)*kWh_per_cycle_advanced_steam_1000L</f>
        <v>72</v>
      </c>
      <c r="R147" s="204" t="s">
        <v>440</v>
      </c>
      <c r="S147" s="458">
        <f>P147*Q147*E10</f>
        <v>2102.4</v>
      </c>
    </row>
    <row r="148" spans="2:19" ht="12.75">
      <c r="B148" s="200">
        <v>4</v>
      </c>
      <c r="C148" s="201" t="s">
        <v>272</v>
      </c>
      <c r="D148" s="202"/>
      <c r="E148" s="203"/>
      <c r="F148" s="204">
        <f>Cost_water_sewage</f>
        <v>0.5</v>
      </c>
      <c r="G148" s="394">
        <f>(TRUNC(G28/300)+1)*water_use_advanced_steam_300L</f>
        <v>300</v>
      </c>
      <c r="H148" s="204" t="s">
        <v>208</v>
      </c>
      <c r="I148" s="205">
        <f>F148/1000*G148*E10</f>
        <v>54.75</v>
      </c>
      <c r="J148" s="175"/>
      <c r="L148" s="200">
        <v>4</v>
      </c>
      <c r="M148" s="201" t="s">
        <v>272</v>
      </c>
      <c r="N148" s="202"/>
      <c r="O148" s="203"/>
      <c r="P148" s="204">
        <f>Cost_water_sewage</f>
        <v>0.5</v>
      </c>
      <c r="Q148" s="394">
        <f>(TRUNC(Q28/1000)+1)*water_use_advanced_steam_1000L</f>
        <v>660</v>
      </c>
      <c r="R148" s="204" t="s">
        <v>208</v>
      </c>
      <c r="S148" s="458">
        <f>P148/1000*Q148*E10</f>
        <v>120.45</v>
      </c>
    </row>
    <row r="149" spans="2:19" ht="12.75">
      <c r="B149" s="200">
        <v>5</v>
      </c>
      <c r="C149" s="462" t="s">
        <v>400</v>
      </c>
      <c r="D149" s="463"/>
      <c r="E149" s="464"/>
      <c r="F149" s="204">
        <f>annual_cost_validation_testing</f>
        <v>45</v>
      </c>
      <c r="G149" s="394"/>
      <c r="H149" s="204" t="s">
        <v>155</v>
      </c>
      <c r="I149" s="205">
        <f>F149</f>
        <v>45</v>
      </c>
      <c r="J149" s="175"/>
      <c r="L149" s="200">
        <v>5</v>
      </c>
      <c r="M149" s="462" t="s">
        <v>400</v>
      </c>
      <c r="N149" s="463"/>
      <c r="O149" s="464"/>
      <c r="P149" s="204">
        <f>annual_cost_validation_testing</f>
        <v>45</v>
      </c>
      <c r="Q149" s="394"/>
      <c r="R149" s="204" t="s">
        <v>155</v>
      </c>
      <c r="S149" s="467">
        <f>P149</f>
        <v>45</v>
      </c>
    </row>
    <row r="150" spans="2:19" ht="12.75">
      <c r="B150" s="200">
        <v>6</v>
      </c>
      <c r="C150" s="201" t="s">
        <v>137</v>
      </c>
      <c r="D150" s="202"/>
      <c r="E150" s="203"/>
      <c r="F150" s="204">
        <f>E12</f>
        <v>40</v>
      </c>
      <c r="G150" s="394">
        <f>E13*beds_per_large_A_HCF</f>
        <v>2.5</v>
      </c>
      <c r="H150" s="204"/>
      <c r="I150" s="205">
        <f>F150*G150*E10</f>
        <v>36500</v>
      </c>
      <c r="J150" s="175"/>
      <c r="L150" s="200">
        <v>6</v>
      </c>
      <c r="M150" s="201" t="s">
        <v>137</v>
      </c>
      <c r="N150" s="202"/>
      <c r="O150" s="203"/>
      <c r="P150" s="204">
        <f>E12</f>
        <v>40</v>
      </c>
      <c r="Q150" s="394">
        <f>E13*beds_per_large_B_HCF</f>
        <v>7.5</v>
      </c>
      <c r="R150" s="204"/>
      <c r="S150" s="458">
        <f>P150*Q150*E10</f>
        <v>109500</v>
      </c>
    </row>
    <row r="151" spans="2:19" ht="12.75">
      <c r="B151" s="200">
        <v>7</v>
      </c>
      <c r="C151" s="201" t="s">
        <v>139</v>
      </c>
      <c r="D151" s="202"/>
      <c r="E151" s="203"/>
      <c r="F151" s="204">
        <f>E14</f>
        <v>80</v>
      </c>
      <c r="G151" s="394">
        <v>1</v>
      </c>
      <c r="H151" s="204" t="s">
        <v>141</v>
      </c>
      <c r="I151" s="205">
        <f>F151*G151*E10</f>
        <v>29200</v>
      </c>
      <c r="J151" s="175"/>
      <c r="L151" s="200">
        <v>7</v>
      </c>
      <c r="M151" s="201" t="s">
        <v>139</v>
      </c>
      <c r="N151" s="202"/>
      <c r="O151" s="203"/>
      <c r="P151" s="204">
        <f>E14</f>
        <v>80</v>
      </c>
      <c r="Q151" s="394">
        <v>1</v>
      </c>
      <c r="R151" s="204" t="s">
        <v>141</v>
      </c>
      <c r="S151" s="458">
        <f>P151*Q151*E10</f>
        <v>29200</v>
      </c>
    </row>
    <row r="152" spans="2:19" ht="12.75">
      <c r="B152" s="200">
        <v>8</v>
      </c>
      <c r="C152" s="201" t="s">
        <v>277</v>
      </c>
      <c r="D152" s="202"/>
      <c r="E152" s="203"/>
      <c r="F152" s="204"/>
      <c r="G152" s="394">
        <f>maintenance_frax_cap_cost*100</f>
        <v>10</v>
      </c>
      <c r="H152" s="204" t="s">
        <v>279</v>
      </c>
      <c r="I152" s="205">
        <f>I141*maintenance_frax_cap_cost</f>
        <v>2700.809345358184</v>
      </c>
      <c r="J152" s="175"/>
      <c r="L152" s="200">
        <v>8</v>
      </c>
      <c r="M152" s="201" t="s">
        <v>277</v>
      </c>
      <c r="N152" s="202"/>
      <c r="O152" s="203"/>
      <c r="P152" s="204"/>
      <c r="Q152" s="394">
        <f>maintenance_frax_cap_cost*100</f>
        <v>10</v>
      </c>
      <c r="R152" s="204" t="s">
        <v>279</v>
      </c>
      <c r="S152" s="458">
        <f>S141*maintenance_frax_cap_cost</f>
        <v>5241.9527830787465</v>
      </c>
    </row>
    <row r="153" spans="2:19" ht="12.75">
      <c r="B153" s="488">
        <v>9</v>
      </c>
      <c r="C153" s="455" t="s">
        <v>414</v>
      </c>
      <c r="D153" s="252"/>
      <c r="E153" s="212"/>
      <c r="F153" s="176">
        <f>E18+E19</f>
        <v>65</v>
      </c>
      <c r="G153" s="456">
        <f>((E7*(1+1/ratio_inf_to_noninf)+E9)*beds_per_large_A_HCF*E10+G116*weight_5L_plastic_sharps_container)/1000</f>
        <v>345.1285576923077</v>
      </c>
      <c r="H153" s="176" t="s">
        <v>72</v>
      </c>
      <c r="I153" s="457">
        <f>F153*G153</f>
        <v>22433.35625</v>
      </c>
      <c r="J153" s="175"/>
      <c r="L153" s="488">
        <v>9</v>
      </c>
      <c r="M153" s="455" t="s">
        <v>414</v>
      </c>
      <c r="N153" s="252"/>
      <c r="O153" s="212"/>
      <c r="P153" s="176">
        <f>E18+E19</f>
        <v>65</v>
      </c>
      <c r="Q153" s="456">
        <f>((E7*(1+1/ratio_inf_to_noninf)+E9)*beds_per_large_B_HCF*E10+Q145*weight_5L_plastic_sharps_container)/1000</f>
        <v>1035.385673076923</v>
      </c>
      <c r="R153" s="176" t="s">
        <v>72</v>
      </c>
      <c r="S153" s="457">
        <f>P153*Q153</f>
        <v>67300.06874999999</v>
      </c>
    </row>
    <row r="154" spans="2:19" ht="12.75">
      <c r="B154" s="488">
        <v>10</v>
      </c>
      <c r="C154" s="455" t="s">
        <v>430</v>
      </c>
      <c r="D154" s="252"/>
      <c r="E154" s="212"/>
      <c r="F154" s="212">
        <f>E20</f>
        <v>2.5</v>
      </c>
      <c r="G154" s="456">
        <f>G29*E10</f>
        <v>7019.230769230769</v>
      </c>
      <c r="H154" s="176" t="s">
        <v>74</v>
      </c>
      <c r="I154" s="457">
        <f>F154*G154</f>
        <v>17548.076923076922</v>
      </c>
      <c r="J154" s="175"/>
      <c r="L154" s="488">
        <v>10</v>
      </c>
      <c r="M154" s="455" t="s">
        <v>430</v>
      </c>
      <c r="N154" s="252"/>
      <c r="O154" s="212"/>
      <c r="P154" s="212">
        <f>E20</f>
        <v>2.5</v>
      </c>
      <c r="Q154" s="456">
        <f>Q29*E10</f>
        <v>21057.692307692305</v>
      </c>
      <c r="R154" s="176" t="s">
        <v>74</v>
      </c>
      <c r="S154" s="457">
        <f>P154*Q154</f>
        <v>52644.230769230766</v>
      </c>
    </row>
    <row r="155" spans="2:19" ht="13.5" thickBot="1">
      <c r="B155" s="206">
        <v>11</v>
      </c>
      <c r="C155" s="207" t="s">
        <v>280</v>
      </c>
      <c r="D155" s="208"/>
      <c r="E155" s="209"/>
      <c r="F155" s="210">
        <f>E17</f>
        <v>10</v>
      </c>
      <c r="G155" s="395">
        <f>beds_per_large_A_HCF*E16</f>
        <v>50</v>
      </c>
      <c r="H155" s="210"/>
      <c r="I155" s="211">
        <f>F155*G155</f>
        <v>500</v>
      </c>
      <c r="J155" s="175"/>
      <c r="L155" s="206">
        <v>11</v>
      </c>
      <c r="M155" s="207" t="s">
        <v>280</v>
      </c>
      <c r="N155" s="208"/>
      <c r="O155" s="209"/>
      <c r="P155" s="210">
        <f>E17</f>
        <v>10</v>
      </c>
      <c r="Q155" s="395">
        <f>beds_per_large_B_HCF*E16</f>
        <v>150</v>
      </c>
      <c r="R155" s="210"/>
      <c r="S155" s="459">
        <f>P155*Q155</f>
        <v>1500</v>
      </c>
    </row>
    <row r="156" spans="2:19" ht="15.75" thickTop="1">
      <c r="B156" s="30"/>
      <c r="C156" s="31" t="s">
        <v>146</v>
      </c>
      <c r="D156" s="31"/>
      <c r="E156" s="31"/>
      <c r="F156" s="31"/>
      <c r="G156" s="31"/>
      <c r="H156" s="31"/>
      <c r="I156" s="59">
        <f>SUM(I145:I155)</f>
        <v>119271.3425184351</v>
      </c>
      <c r="J156" s="43"/>
      <c r="K156" s="32"/>
      <c r="L156" s="30"/>
      <c r="M156" s="31" t="s">
        <v>18</v>
      </c>
      <c r="N156" s="31"/>
      <c r="O156" s="31"/>
      <c r="P156" s="31"/>
      <c r="Q156" s="31"/>
      <c r="R156" s="31"/>
      <c r="S156" s="460">
        <f>SUM(S145:S155)</f>
        <v>293791.7523023095</v>
      </c>
    </row>
    <row r="157" spans="2:19" ht="15.75" thickBot="1">
      <c r="B157" s="33"/>
      <c r="C157" s="34" t="s">
        <v>147</v>
      </c>
      <c r="D157" s="34"/>
      <c r="E157" s="34"/>
      <c r="F157" s="34"/>
      <c r="G157" s="34"/>
      <c r="H157" s="34"/>
      <c r="I157" s="514">
        <f>I156*number_large_A_HCFs</f>
        <v>1192713.4251843512</v>
      </c>
      <c r="J157" s="43"/>
      <c r="K157" s="32"/>
      <c r="L157" s="33"/>
      <c r="M157" s="34" t="s">
        <v>19</v>
      </c>
      <c r="N157" s="34"/>
      <c r="O157" s="34"/>
      <c r="P157" s="34"/>
      <c r="Q157" s="34"/>
      <c r="R157" s="34"/>
      <c r="S157" s="515">
        <f>S156*number_large_B_HCFs</f>
        <v>1468958.7615115475</v>
      </c>
    </row>
  </sheetData>
  <printOptions/>
  <pageMargins left="0.5" right="0.5" top="0.86" bottom="0.5" header="0.5" footer="0.5"/>
  <pageSetup orientation="portrait" paperSize="9" scale="95" r:id="rId1"/>
  <rowBreaks count="2" manualBreakCount="2">
    <brk id="49" max="18" man="1"/>
    <brk id="99" max="18" man="1"/>
  </rowBreaks>
</worksheet>
</file>

<file path=xl/worksheets/sheet8.xml><?xml version="1.0" encoding="utf-8"?>
<worksheet xmlns="http://schemas.openxmlformats.org/spreadsheetml/2006/main" xmlns:r="http://schemas.openxmlformats.org/officeDocument/2006/relationships">
  <dimension ref="A1:S258"/>
  <sheetViews>
    <sheetView tabSelected="1" workbookViewId="0" topLeftCell="A1">
      <selection activeCell="A1" sqref="A1"/>
    </sheetView>
  </sheetViews>
  <sheetFormatPr defaultColWidth="9.140625" defaultRowHeight="12.75"/>
  <cols>
    <col min="1" max="1" width="1.57421875" style="80" customWidth="1"/>
    <col min="2" max="4" width="8.8515625" style="80" customWidth="1"/>
    <col min="5" max="5" width="21.28125" style="80" customWidth="1"/>
    <col min="6" max="6" width="8.8515625" style="80" customWidth="1"/>
    <col min="7" max="7" width="14.140625" style="80" customWidth="1"/>
    <col min="8" max="8" width="8.8515625" style="80" customWidth="1"/>
    <col min="9" max="9" width="14.7109375" style="80" customWidth="1"/>
    <col min="10" max="10" width="2.00390625" style="79" customWidth="1"/>
    <col min="11" max="11" width="1.8515625" style="80" customWidth="1"/>
    <col min="12" max="14" width="8.8515625" style="80" customWidth="1"/>
    <col min="15" max="15" width="13.00390625" style="80" customWidth="1"/>
    <col min="16" max="16" width="9.00390625" style="80" bestFit="1" customWidth="1"/>
    <col min="17" max="17" width="12.140625" style="80" bestFit="1" customWidth="1"/>
    <col min="18" max="18" width="14.28125" style="80" bestFit="1" customWidth="1"/>
    <col min="19" max="19" width="15.57421875" style="80" customWidth="1"/>
    <col min="20" max="16384" width="8.8515625" style="80" customWidth="1"/>
  </cols>
  <sheetData>
    <row r="1" spans="10:11" s="78" customFormat="1" ht="13.5" thickBot="1">
      <c r="J1" s="567"/>
      <c r="K1" s="568"/>
    </row>
    <row r="2" spans="1:19" s="134" customFormat="1" ht="18.75" thickBot="1">
      <c r="A2" s="133" t="s">
        <v>103</v>
      </c>
      <c r="J2" s="133"/>
      <c r="L2" s="134" t="s">
        <v>103</v>
      </c>
      <c r="S2" s="569"/>
    </row>
    <row r="3" spans="10:11" ht="13.5" thickBot="1">
      <c r="J3" s="249"/>
      <c r="K3" s="111"/>
    </row>
    <row r="4" spans="1:12" s="94" customFormat="1" ht="17.25" thickBot="1">
      <c r="A4" s="93" t="s">
        <v>218</v>
      </c>
      <c r="E4" s="246"/>
      <c r="F4" s="246"/>
      <c r="G4" s="246"/>
      <c r="H4" s="246"/>
      <c r="L4" s="246"/>
    </row>
    <row r="5" spans="1:8" s="249" customFormat="1" ht="15.75" thickBot="1">
      <c r="A5" s="247"/>
      <c r="B5" s="248"/>
      <c r="C5" s="27"/>
      <c r="D5" s="27"/>
      <c r="E5" s="20"/>
      <c r="F5" s="20"/>
      <c r="G5" s="20"/>
      <c r="H5" s="20"/>
    </row>
    <row r="6" spans="2:11" s="83" customFormat="1" ht="15">
      <c r="B6" s="250" t="s">
        <v>258</v>
      </c>
      <c r="C6" s="92"/>
      <c r="D6" s="92"/>
      <c r="E6" s="92"/>
      <c r="F6" s="118" t="s">
        <v>213</v>
      </c>
      <c r="G6" s="118" t="s">
        <v>214</v>
      </c>
      <c r="H6" s="119" t="s">
        <v>246</v>
      </c>
      <c r="J6" s="72"/>
      <c r="K6" s="95"/>
    </row>
    <row r="7" spans="2:11" ht="12.75">
      <c r="B7" s="251" t="s">
        <v>236</v>
      </c>
      <c r="C7" s="252"/>
      <c r="D7" s="252"/>
      <c r="E7" s="203"/>
      <c r="F7" s="391">
        <v>0.5</v>
      </c>
      <c r="G7" s="220" t="s">
        <v>222</v>
      </c>
      <c r="H7" s="398">
        <v>0.5</v>
      </c>
      <c r="J7" s="249"/>
      <c r="K7" s="111"/>
    </row>
    <row r="8" spans="2:11" ht="12.75">
      <c r="B8" s="216" t="s">
        <v>107</v>
      </c>
      <c r="C8" s="202"/>
      <c r="D8" s="202"/>
      <c r="E8" s="203"/>
      <c r="F8" s="391">
        <v>1</v>
      </c>
      <c r="G8" s="220" t="s">
        <v>233</v>
      </c>
      <c r="H8" s="398">
        <v>1</v>
      </c>
      <c r="J8" s="249"/>
      <c r="K8" s="111"/>
    </row>
    <row r="9" spans="2:11" ht="12.75">
      <c r="B9" s="216" t="s">
        <v>244</v>
      </c>
      <c r="C9" s="202"/>
      <c r="D9" s="202"/>
      <c r="E9" s="203"/>
      <c r="F9" s="391">
        <v>0.15</v>
      </c>
      <c r="G9" s="220" t="s">
        <v>245</v>
      </c>
      <c r="H9" s="398">
        <v>0.15</v>
      </c>
      <c r="J9" s="249"/>
      <c r="K9" s="111"/>
    </row>
    <row r="10" spans="2:11" ht="12.75">
      <c r="B10" s="216" t="s">
        <v>237</v>
      </c>
      <c r="C10" s="202"/>
      <c r="D10" s="202"/>
      <c r="E10" s="203"/>
      <c r="F10" s="391">
        <v>0.01</v>
      </c>
      <c r="G10" s="220" t="s">
        <v>222</v>
      </c>
      <c r="H10" s="398">
        <v>0.01</v>
      </c>
      <c r="J10" s="249"/>
      <c r="K10" s="111"/>
    </row>
    <row r="11" spans="2:11" ht="12.75">
      <c r="B11" s="216" t="s">
        <v>109</v>
      </c>
      <c r="C11" s="202"/>
      <c r="D11" s="202"/>
      <c r="E11" s="203"/>
      <c r="F11" s="391">
        <v>0.02</v>
      </c>
      <c r="G11" s="220" t="s">
        <v>233</v>
      </c>
      <c r="H11" s="398">
        <v>0.02</v>
      </c>
      <c r="J11" s="249"/>
      <c r="K11" s="111"/>
    </row>
    <row r="12" spans="2:11" ht="12.75">
      <c r="B12" s="216" t="s">
        <v>122</v>
      </c>
      <c r="C12" s="202"/>
      <c r="D12" s="202"/>
      <c r="E12" s="203"/>
      <c r="F12" s="391">
        <v>261</v>
      </c>
      <c r="G12" s="220" t="s">
        <v>239</v>
      </c>
      <c r="H12" s="398">
        <v>261</v>
      </c>
      <c r="J12" s="249"/>
      <c r="K12" s="111"/>
    </row>
    <row r="13" spans="2:11" ht="12.75">
      <c r="B13" s="216" t="s">
        <v>104</v>
      </c>
      <c r="C13" s="202"/>
      <c r="D13" s="202"/>
      <c r="E13" s="203"/>
      <c r="F13" s="391">
        <v>261</v>
      </c>
      <c r="G13" s="220" t="s">
        <v>239</v>
      </c>
      <c r="H13" s="398">
        <v>261</v>
      </c>
      <c r="J13" s="249"/>
      <c r="K13" s="111"/>
    </row>
    <row r="14" spans="2:11" ht="12.75">
      <c r="B14" s="216" t="s">
        <v>123</v>
      </c>
      <c r="C14" s="202"/>
      <c r="D14" s="202"/>
      <c r="E14" s="203"/>
      <c r="F14" s="391">
        <v>365</v>
      </c>
      <c r="G14" s="220" t="s">
        <v>239</v>
      </c>
      <c r="H14" s="398">
        <v>365</v>
      </c>
      <c r="J14" s="249"/>
      <c r="K14" s="111"/>
    </row>
    <row r="15" spans="2:11" ht="12.75">
      <c r="B15" s="216" t="s">
        <v>112</v>
      </c>
      <c r="C15" s="202"/>
      <c r="D15" s="202"/>
      <c r="E15" s="203"/>
      <c r="F15" s="391">
        <v>4</v>
      </c>
      <c r="G15" s="220" t="s">
        <v>113</v>
      </c>
      <c r="H15" s="398">
        <v>4</v>
      </c>
      <c r="J15" s="249"/>
      <c r="K15" s="111"/>
    </row>
    <row r="16" spans="2:11" ht="12.75">
      <c r="B16" s="216" t="s">
        <v>120</v>
      </c>
      <c r="C16" s="202"/>
      <c r="D16" s="202"/>
      <c r="E16" s="203"/>
      <c r="F16" s="391">
        <v>1</v>
      </c>
      <c r="G16" s="220" t="s">
        <v>121</v>
      </c>
      <c r="H16" s="398">
        <v>1</v>
      </c>
      <c r="J16" s="249"/>
      <c r="K16" s="111"/>
    </row>
    <row r="17" spans="2:11" ht="12.75">
      <c r="B17" s="216" t="s">
        <v>242</v>
      </c>
      <c r="C17" s="202"/>
      <c r="D17" s="202"/>
      <c r="E17" s="203"/>
      <c r="F17" s="391">
        <v>0.5</v>
      </c>
      <c r="G17" s="220" t="s">
        <v>215</v>
      </c>
      <c r="H17" s="398">
        <v>0.5</v>
      </c>
      <c r="J17" s="249"/>
      <c r="K17" s="111"/>
    </row>
    <row r="18" spans="2:11" ht="12.75">
      <c r="B18" s="216" t="s">
        <v>105</v>
      </c>
      <c r="C18" s="202"/>
      <c r="D18" s="202"/>
      <c r="E18" s="203"/>
      <c r="F18" s="391">
        <v>20</v>
      </c>
      <c r="G18" s="220" t="s">
        <v>223</v>
      </c>
      <c r="H18" s="398">
        <v>2</v>
      </c>
      <c r="J18" s="249"/>
      <c r="K18" s="111"/>
    </row>
    <row r="19" spans="2:11" ht="12.75">
      <c r="B19" s="216" t="s">
        <v>60</v>
      </c>
      <c r="C19" s="202"/>
      <c r="D19" s="202"/>
      <c r="E19" s="203"/>
      <c r="F19" s="391">
        <v>1</v>
      </c>
      <c r="G19" s="220" t="s">
        <v>61</v>
      </c>
      <c r="H19" s="398" t="s">
        <v>62</v>
      </c>
      <c r="J19" s="249"/>
      <c r="K19" s="111"/>
    </row>
    <row r="20" spans="2:11" ht="12.75">
      <c r="B20" s="216" t="s">
        <v>124</v>
      </c>
      <c r="C20" s="202"/>
      <c r="D20" s="202"/>
      <c r="E20" s="203"/>
      <c r="F20" s="391">
        <v>3</v>
      </c>
      <c r="G20" s="220" t="s">
        <v>125</v>
      </c>
      <c r="H20" s="398">
        <v>3</v>
      </c>
      <c r="J20" s="249"/>
      <c r="K20" s="111"/>
    </row>
    <row r="21" spans="2:11" ht="12.75">
      <c r="B21" s="216" t="s">
        <v>129</v>
      </c>
      <c r="C21" s="202"/>
      <c r="D21" s="202"/>
      <c r="E21" s="203"/>
      <c r="F21" s="391">
        <v>0.01</v>
      </c>
      <c r="G21" s="220" t="s">
        <v>130</v>
      </c>
      <c r="H21" s="398">
        <f>1/100</f>
        <v>0.01</v>
      </c>
      <c r="J21" s="249"/>
      <c r="K21" s="111"/>
    </row>
    <row r="22" spans="2:11" ht="12.75">
      <c r="B22" s="216" t="s">
        <v>70</v>
      </c>
      <c r="C22" s="202"/>
      <c r="D22" s="202"/>
      <c r="E22" s="203"/>
      <c r="F22" s="391">
        <v>40</v>
      </c>
      <c r="G22" s="220" t="s">
        <v>223</v>
      </c>
      <c r="H22" s="398">
        <v>10</v>
      </c>
      <c r="J22" s="249"/>
      <c r="K22" s="111"/>
    </row>
    <row r="23" spans="2:11" ht="12.75">
      <c r="B23" s="216" t="s">
        <v>255</v>
      </c>
      <c r="C23" s="202"/>
      <c r="D23" s="202"/>
      <c r="E23" s="203"/>
      <c r="F23" s="391">
        <v>0.08</v>
      </c>
      <c r="G23" s="220" t="s">
        <v>256</v>
      </c>
      <c r="H23" s="398">
        <v>0.08</v>
      </c>
      <c r="J23" s="249"/>
      <c r="K23" s="111"/>
    </row>
    <row r="24" spans="2:11" ht="12.75">
      <c r="B24" s="216" t="s">
        <v>55</v>
      </c>
      <c r="C24" s="202"/>
      <c r="D24" s="202"/>
      <c r="E24" s="203"/>
      <c r="F24" s="391">
        <v>0.2</v>
      </c>
      <c r="G24" s="220" t="s">
        <v>187</v>
      </c>
      <c r="H24" s="398">
        <f>1/5</f>
        <v>0.2</v>
      </c>
      <c r="J24" s="249"/>
      <c r="K24" s="111"/>
    </row>
    <row r="25" spans="2:11" ht="12.75">
      <c r="B25" s="216" t="s">
        <v>81</v>
      </c>
      <c r="C25" s="202"/>
      <c r="D25" s="202"/>
      <c r="E25" s="203"/>
      <c r="F25" s="391">
        <v>20</v>
      </c>
      <c r="G25" s="220" t="s">
        <v>217</v>
      </c>
      <c r="H25" s="398">
        <v>5</v>
      </c>
      <c r="J25" s="249"/>
      <c r="K25" s="111"/>
    </row>
    <row r="26" spans="2:11" ht="12.75">
      <c r="B26" s="216" t="s">
        <v>106</v>
      </c>
      <c r="C26" s="202"/>
      <c r="D26" s="202"/>
      <c r="E26" s="203"/>
      <c r="F26" s="391">
        <v>40</v>
      </c>
      <c r="G26" s="220" t="s">
        <v>217</v>
      </c>
      <c r="H26" s="398">
        <v>10</v>
      </c>
      <c r="J26" s="249"/>
      <c r="K26" s="111"/>
    </row>
    <row r="27" spans="2:11" ht="12.75">
      <c r="B27" s="216" t="s">
        <v>361</v>
      </c>
      <c r="C27" s="202"/>
      <c r="D27" s="202"/>
      <c r="E27" s="203"/>
      <c r="F27" s="391">
        <v>2</v>
      </c>
      <c r="G27" s="220" t="s">
        <v>73</v>
      </c>
      <c r="H27" s="398">
        <v>2</v>
      </c>
      <c r="J27" s="249"/>
      <c r="K27" s="111"/>
    </row>
    <row r="28" spans="2:11" ht="12.75">
      <c r="B28" s="216" t="s">
        <v>405</v>
      </c>
      <c r="C28" s="202"/>
      <c r="D28" s="202"/>
      <c r="E28" s="203"/>
      <c r="F28" s="391">
        <v>0.1</v>
      </c>
      <c r="G28" s="220" t="s">
        <v>134</v>
      </c>
      <c r="H28" s="398">
        <f>1/10</f>
        <v>0.1</v>
      </c>
      <c r="J28" s="249"/>
      <c r="K28" s="111"/>
    </row>
    <row r="29" spans="2:11" ht="12.75">
      <c r="B29" s="216" t="s">
        <v>65</v>
      </c>
      <c r="C29" s="202"/>
      <c r="D29" s="202"/>
      <c r="E29" s="203"/>
      <c r="F29" s="391">
        <v>7000</v>
      </c>
      <c r="G29" s="220" t="s">
        <v>243</v>
      </c>
      <c r="H29" s="398">
        <v>7000</v>
      </c>
      <c r="J29" s="249"/>
      <c r="K29" s="111"/>
    </row>
    <row r="30" spans="2:11" ht="12.75">
      <c r="B30" s="216" t="s">
        <v>94</v>
      </c>
      <c r="C30" s="202"/>
      <c r="D30" s="202"/>
      <c r="E30" s="203"/>
      <c r="F30" s="391">
        <v>15000</v>
      </c>
      <c r="G30" s="220" t="s">
        <v>243</v>
      </c>
      <c r="H30" s="398">
        <v>15000</v>
      </c>
      <c r="J30" s="249"/>
      <c r="K30" s="111"/>
    </row>
    <row r="31" spans="2:11" ht="12.75">
      <c r="B31" s="216" t="s">
        <v>69</v>
      </c>
      <c r="C31" s="202"/>
      <c r="D31" s="202"/>
      <c r="E31" s="203"/>
      <c r="F31" s="391">
        <v>2</v>
      </c>
      <c r="G31" s="220" t="s">
        <v>68</v>
      </c>
      <c r="H31" s="398">
        <v>2</v>
      </c>
      <c r="J31" s="249"/>
      <c r="K31" s="111"/>
    </row>
    <row r="32" spans="2:11" ht="12.75">
      <c r="B32" s="216" t="s">
        <v>379</v>
      </c>
      <c r="C32" s="202"/>
      <c r="D32" s="202"/>
      <c r="E32" s="203"/>
      <c r="F32" s="391">
        <v>23</v>
      </c>
      <c r="G32" s="220" t="s">
        <v>76</v>
      </c>
      <c r="H32" s="398">
        <v>23</v>
      </c>
      <c r="J32" s="249"/>
      <c r="K32" s="111"/>
    </row>
    <row r="33" spans="2:11" ht="12.75">
      <c r="B33" s="216" t="s">
        <v>423</v>
      </c>
      <c r="C33" s="202"/>
      <c r="D33" s="203"/>
      <c r="F33" s="379">
        <v>2.5</v>
      </c>
      <c r="G33" s="220" t="s">
        <v>422</v>
      </c>
      <c r="H33" s="221">
        <v>2.5</v>
      </c>
      <c r="J33" s="249"/>
      <c r="K33" s="111"/>
    </row>
    <row r="34" spans="2:11" ht="12.75">
      <c r="B34" s="231" t="s">
        <v>411</v>
      </c>
      <c r="C34" s="202"/>
      <c r="D34" s="203"/>
      <c r="F34" s="388">
        <v>15</v>
      </c>
      <c r="G34" s="178" t="s">
        <v>413</v>
      </c>
      <c r="H34" s="519">
        <v>15</v>
      </c>
      <c r="J34" s="249"/>
      <c r="K34" s="111"/>
    </row>
    <row r="35" spans="2:11" ht="13.5" thickBot="1">
      <c r="B35" s="179" t="s">
        <v>412</v>
      </c>
      <c r="C35" s="180"/>
      <c r="D35" s="180"/>
      <c r="E35" s="224"/>
      <c r="F35" s="392">
        <v>50</v>
      </c>
      <c r="G35" s="225" t="s">
        <v>71</v>
      </c>
      <c r="H35" s="399">
        <v>50</v>
      </c>
      <c r="J35" s="249"/>
      <c r="K35" s="111"/>
    </row>
    <row r="36" spans="10:11" ht="13.5" thickBot="1">
      <c r="J36" s="249"/>
      <c r="K36" s="111"/>
    </row>
    <row r="37" spans="1:19" s="136" customFormat="1" ht="17.25" thickBot="1">
      <c r="A37" s="135" t="s">
        <v>190</v>
      </c>
      <c r="E37" s="253"/>
      <c r="F37" s="253"/>
      <c r="G37" s="253"/>
      <c r="H37" s="253"/>
      <c r="J37" s="570"/>
      <c r="L37" s="253" t="s">
        <v>190</v>
      </c>
      <c r="S37" s="571"/>
    </row>
    <row r="38" spans="1:10" s="72" customFormat="1" ht="16.5" thickBot="1">
      <c r="A38" s="49"/>
      <c r="E38" s="49"/>
      <c r="F38" s="49"/>
      <c r="G38" s="49"/>
      <c r="H38" s="49"/>
      <c r="J38" s="76"/>
    </row>
    <row r="39" spans="2:19" s="83" customFormat="1" ht="15">
      <c r="B39" s="140" t="s">
        <v>110</v>
      </c>
      <c r="C39" s="254"/>
      <c r="D39" s="254"/>
      <c r="E39" s="254"/>
      <c r="F39" s="254"/>
      <c r="G39" s="255" t="s">
        <v>213</v>
      </c>
      <c r="H39" s="255" t="s">
        <v>214</v>
      </c>
      <c r="I39" s="256" t="s">
        <v>246</v>
      </c>
      <c r="J39" s="76"/>
      <c r="L39" s="139" t="s">
        <v>86</v>
      </c>
      <c r="M39" s="257"/>
      <c r="N39" s="257"/>
      <c r="O39" s="257"/>
      <c r="P39" s="257"/>
      <c r="Q39" s="258" t="s">
        <v>213</v>
      </c>
      <c r="R39" s="258" t="s">
        <v>214</v>
      </c>
      <c r="S39" s="259" t="s">
        <v>246</v>
      </c>
    </row>
    <row r="40" spans="2:19" ht="12.75">
      <c r="B40" s="216" t="s">
        <v>304</v>
      </c>
      <c r="C40" s="202"/>
      <c r="D40" s="202"/>
      <c r="E40" s="202"/>
      <c r="F40" s="203"/>
      <c r="G40" s="374">
        <f>I40</f>
        <v>975</v>
      </c>
      <c r="H40" s="204" t="s">
        <v>233</v>
      </c>
      <c r="I40" s="221">
        <f>number_small_HCFs_medium_cluster*F8+(total_beds_medium_HCFs_medium_cluster+total_beds_large_HCFs_medium_cluster)*F7</f>
        <v>975</v>
      </c>
      <c r="L40" s="216" t="s">
        <v>304</v>
      </c>
      <c r="M40" s="202"/>
      <c r="N40" s="202"/>
      <c r="O40" s="202"/>
      <c r="P40" s="203"/>
      <c r="Q40" s="374">
        <f>S40</f>
        <v>2450</v>
      </c>
      <c r="R40" s="204" t="s">
        <v>233</v>
      </c>
      <c r="S40" s="221">
        <f>number_small_HCFs_large_cluster*F8+(total_beds_medium_HCFs_large_cluster+total_beds_large_HCFs_large_cluster)*F7</f>
        <v>2450</v>
      </c>
    </row>
    <row r="41" spans="2:19" ht="12.75">
      <c r="B41" s="216" t="s">
        <v>305</v>
      </c>
      <c r="C41" s="202"/>
      <c r="D41" s="202"/>
      <c r="E41" s="202"/>
      <c r="F41" s="203"/>
      <c r="G41" s="260">
        <f>I41</f>
        <v>353275</v>
      </c>
      <c r="H41" s="204" t="s">
        <v>74</v>
      </c>
      <c r="I41" s="221">
        <f>number_small_HCFs_medium_cluster*F8*F12+(total_beds_medium_HCFs_medium_cluster+total_beds_large_HCFs_medium_cluster)*F7*F14</f>
        <v>353275</v>
      </c>
      <c r="L41" s="216" t="s">
        <v>305</v>
      </c>
      <c r="M41" s="202"/>
      <c r="N41" s="202"/>
      <c r="O41" s="202"/>
      <c r="P41" s="203"/>
      <c r="Q41" s="260">
        <f>S41</f>
        <v>889050</v>
      </c>
      <c r="R41" s="204" t="s">
        <v>74</v>
      </c>
      <c r="S41" s="221">
        <f>number_small_HCFs_large_cluster*F8*F12+(total_beds_medium_HCFs_large_cluster+total_beds_large_HCFs_large_cluster)*F7*F14</f>
        <v>889050</v>
      </c>
    </row>
    <row r="42" spans="2:19" ht="12.75">
      <c r="B42" s="216" t="s">
        <v>306</v>
      </c>
      <c r="C42" s="202"/>
      <c r="D42" s="202"/>
      <c r="E42" s="202"/>
      <c r="F42" s="203"/>
      <c r="G42" s="217">
        <f>total_kg_per_day_medium_cluster/F9</f>
        <v>6500</v>
      </c>
      <c r="H42" s="204" t="s">
        <v>108</v>
      </c>
      <c r="I42" s="221"/>
      <c r="L42" s="216" t="s">
        <v>306</v>
      </c>
      <c r="M42" s="202"/>
      <c r="N42" s="202"/>
      <c r="O42" s="202"/>
      <c r="P42" s="203"/>
      <c r="Q42" s="217">
        <f>total_kg_per_day_large_cluster/F9</f>
        <v>16333.333333333334</v>
      </c>
      <c r="R42" s="204" t="s">
        <v>108</v>
      </c>
      <c r="S42" s="221"/>
    </row>
    <row r="43" spans="2:19" ht="12.75">
      <c r="B43" s="216" t="s">
        <v>427</v>
      </c>
      <c r="C43" s="202"/>
      <c r="D43" s="202"/>
      <c r="E43" s="202"/>
      <c r="F43" s="203"/>
      <c r="G43" s="217">
        <f>(total_beds_medium_HCFs_medium_cluster+total_beds_large_HCFs_medium_cluster)*F7/ratio_inf_to_noninf*ratio_chemical_to_noninf</f>
        <v>146.15384615384613</v>
      </c>
      <c r="H43" s="204" t="s">
        <v>233</v>
      </c>
      <c r="I43" s="444">
        <f>(total_beds_medium_HCFs_medium_cluster+total_beds_large_HCFs_medium_cluster)*F7/ratio_inf_to_noninf*ratio_chemical_to_noninf</f>
        <v>146.15384615384613</v>
      </c>
      <c r="L43" s="216" t="s">
        <v>427</v>
      </c>
      <c r="M43" s="202"/>
      <c r="N43" s="202"/>
      <c r="O43" s="202"/>
      <c r="P43" s="203"/>
      <c r="Q43" s="217">
        <f>(total_beds_medium_HCFs_large_cluster+total_beds_large_HCFs_large_cluster)*F7/ratio_inf_to_noninf*ratio_chemical_to_noninf</f>
        <v>369.2307692307692</v>
      </c>
      <c r="R43" s="204" t="s">
        <v>233</v>
      </c>
      <c r="S43" s="444">
        <f>(total_beds_medium_HCFs_large_cluster+total_beds_large_HCFs_large_cluster)*F7/ratio_inf_to_noninf*ratio_chemical_to_noninf</f>
        <v>369.2307692307692</v>
      </c>
    </row>
    <row r="44" spans="2:19" ht="12.75">
      <c r="B44" s="216" t="s">
        <v>380</v>
      </c>
      <c r="C44" s="202"/>
      <c r="D44" s="202"/>
      <c r="E44" s="202"/>
      <c r="F44" s="203"/>
      <c r="G44" s="204">
        <f>I44</f>
        <v>19.5</v>
      </c>
      <c r="H44" s="204" t="s">
        <v>233</v>
      </c>
      <c r="I44" s="444">
        <f>number_small_HCFs_medium_cluster*F11+(total_beds_medium_HCFs_medium_cluster+total_beds_large_HCFs_medium_cluster)*F10</f>
        <v>19.5</v>
      </c>
      <c r="L44" s="216" t="s">
        <v>380</v>
      </c>
      <c r="M44" s="202"/>
      <c r="N44" s="202"/>
      <c r="O44" s="202"/>
      <c r="P44" s="203"/>
      <c r="Q44" s="204">
        <f>S44</f>
        <v>49</v>
      </c>
      <c r="R44" s="204" t="s">
        <v>233</v>
      </c>
      <c r="S44" s="221">
        <f>number_small_HCFs_large_cluster*F11+(total_beds_medium_HCFs_large_cluster+total_beds_large_HCFs_large_cluster)*F10</f>
        <v>49</v>
      </c>
    </row>
    <row r="45" spans="2:19" ht="12.75">
      <c r="B45" s="251" t="s">
        <v>381</v>
      </c>
      <c r="C45" s="252"/>
      <c r="D45" s="252"/>
      <c r="E45" s="252"/>
      <c r="F45" s="212"/>
      <c r="G45" s="446">
        <f>I45</f>
        <v>7065.5</v>
      </c>
      <c r="H45" s="176" t="s">
        <v>74</v>
      </c>
      <c r="I45" s="445">
        <f>number_small_HCFs_medium_cluster*F11*F12+(total_beds_medium_HCFs_medium_cluster+total_beds_large_HCFs_medium_cluster)*F10*F14</f>
        <v>7065.5</v>
      </c>
      <c r="L45" s="251" t="s">
        <v>381</v>
      </c>
      <c r="M45" s="252"/>
      <c r="N45" s="252"/>
      <c r="O45" s="252"/>
      <c r="P45" s="212"/>
      <c r="Q45" s="176">
        <f>S45</f>
        <v>17781</v>
      </c>
      <c r="R45" s="176" t="s">
        <v>233</v>
      </c>
      <c r="S45" s="443">
        <f>number_small_HCFs_large_cluster*F11*F12+(total_beds_medium_HCFs_large_cluster+total_beds_large_HCFs_large_cluster)*F10*F14</f>
        <v>17781</v>
      </c>
    </row>
    <row r="46" spans="2:19" ht="13.5" thickBot="1">
      <c r="B46" s="261" t="s">
        <v>382</v>
      </c>
      <c r="C46" s="262"/>
      <c r="D46" s="262"/>
      <c r="E46" s="262"/>
      <c r="F46" s="224"/>
      <c r="G46" s="263">
        <f>I46</f>
        <v>23</v>
      </c>
      <c r="H46" s="263" t="s">
        <v>141</v>
      </c>
      <c r="I46" s="226">
        <f>ROUND(number_small_HCFs_medium_cluster/8+number_medium_HCFs_medium_cluster/2+total_beds_large_HCFs_medium_cluster*F21,0)</f>
        <v>23</v>
      </c>
      <c r="L46" s="261" t="s">
        <v>382</v>
      </c>
      <c r="M46" s="262"/>
      <c r="N46" s="262"/>
      <c r="O46" s="262"/>
      <c r="P46" s="224"/>
      <c r="Q46" s="263">
        <f>S46</f>
        <v>56</v>
      </c>
      <c r="R46" s="263" t="s">
        <v>141</v>
      </c>
      <c r="S46" s="226">
        <f>ROUND(number_small_HCFs_large_cluster/8+number_medium_HCFs_large_cluster/2+total_beds_large_HCFs_large_cluster*F21,0)</f>
        <v>56</v>
      </c>
    </row>
    <row r="47" spans="2:12" ht="12.75">
      <c r="B47" s="249" t="s">
        <v>428</v>
      </c>
      <c r="F47" s="111"/>
      <c r="G47" s="111"/>
      <c r="H47" s="111"/>
      <c r="I47" s="111"/>
      <c r="L47" s="249" t="s">
        <v>428</v>
      </c>
    </row>
    <row r="48" ht="13.5" thickBot="1"/>
    <row r="49" spans="2:19" s="83" customFormat="1" ht="15.75" thickBot="1">
      <c r="B49" s="141" t="s">
        <v>110</v>
      </c>
      <c r="C49" s="84"/>
      <c r="D49" s="84"/>
      <c r="E49" s="84"/>
      <c r="F49" s="84"/>
      <c r="G49" s="84"/>
      <c r="H49" s="84"/>
      <c r="I49" s="85"/>
      <c r="J49" s="76"/>
      <c r="L49" s="142" t="s">
        <v>86</v>
      </c>
      <c r="M49" s="86"/>
      <c r="N49" s="87"/>
      <c r="O49" s="87"/>
      <c r="P49" s="87"/>
      <c r="Q49" s="87"/>
      <c r="R49" s="87"/>
      <c r="S49" s="88"/>
    </row>
    <row r="50" spans="2:19" s="219" customFormat="1" ht="9" customHeight="1" thickBot="1">
      <c r="B50" s="264"/>
      <c r="C50" s="27"/>
      <c r="D50" s="249"/>
      <c r="E50" s="249"/>
      <c r="F50" s="249"/>
      <c r="G50" s="249"/>
      <c r="H50" s="249"/>
      <c r="I50" s="265"/>
      <c r="J50" s="79"/>
      <c r="L50" s="266"/>
      <c r="M50" s="75"/>
      <c r="N50" s="249"/>
      <c r="O50" s="249"/>
      <c r="P50" s="249"/>
      <c r="Q50" s="249"/>
      <c r="R50" s="249"/>
      <c r="S50" s="265"/>
    </row>
    <row r="51" spans="2:19" s="83" customFormat="1" ht="15.75" thickBot="1">
      <c r="B51" s="143" t="s">
        <v>111</v>
      </c>
      <c r="C51" s="107"/>
      <c r="D51" s="143"/>
      <c r="E51" s="107"/>
      <c r="F51" s="89"/>
      <c r="G51" s="89"/>
      <c r="H51" s="89"/>
      <c r="I51" s="90"/>
      <c r="J51" s="76"/>
      <c r="L51" s="267" t="s">
        <v>87</v>
      </c>
      <c r="M51" s="108"/>
      <c r="N51" s="267"/>
      <c r="O51" s="109"/>
      <c r="P51" s="91"/>
      <c r="Q51" s="89"/>
      <c r="R51" s="89"/>
      <c r="S51" s="90"/>
    </row>
    <row r="52" spans="2:19" ht="12.75">
      <c r="B52" s="110"/>
      <c r="C52" s="111"/>
      <c r="D52" s="111"/>
      <c r="E52" s="111"/>
      <c r="F52" s="111"/>
      <c r="G52" s="111"/>
      <c r="H52" s="111"/>
      <c r="I52" s="112"/>
      <c r="L52" s="110"/>
      <c r="M52" s="111"/>
      <c r="N52" s="111"/>
      <c r="O52" s="111"/>
      <c r="P52" s="111"/>
      <c r="Q52" s="111"/>
      <c r="R52" s="111"/>
      <c r="S52" s="112"/>
    </row>
    <row r="53" spans="2:19" s="83" customFormat="1" ht="15">
      <c r="B53" s="268" t="s">
        <v>116</v>
      </c>
      <c r="C53" s="269"/>
      <c r="D53" s="270"/>
      <c r="E53" s="270"/>
      <c r="F53" s="270"/>
      <c r="G53" s="270"/>
      <c r="H53" s="270"/>
      <c r="I53" s="271"/>
      <c r="J53" s="272"/>
      <c r="L53" s="268" t="s">
        <v>116</v>
      </c>
      <c r="M53" s="269"/>
      <c r="N53" s="270"/>
      <c r="O53" s="270"/>
      <c r="P53" s="270"/>
      <c r="Q53" s="270"/>
      <c r="R53" s="270"/>
      <c r="S53" s="271"/>
    </row>
    <row r="54" spans="2:19" ht="14.25">
      <c r="B54" s="273" t="s">
        <v>220</v>
      </c>
      <c r="C54" s="274" t="s">
        <v>258</v>
      </c>
      <c r="D54" s="275"/>
      <c r="E54" s="276"/>
      <c r="F54" s="277" t="s">
        <v>259</v>
      </c>
      <c r="G54" s="400" t="s">
        <v>260</v>
      </c>
      <c r="H54" s="400" t="s">
        <v>261</v>
      </c>
      <c r="I54" s="278" t="s">
        <v>262</v>
      </c>
      <c r="J54" s="279"/>
      <c r="L54" s="273" t="s">
        <v>220</v>
      </c>
      <c r="M54" s="274" t="s">
        <v>258</v>
      </c>
      <c r="N54" s="275"/>
      <c r="O54" s="276"/>
      <c r="P54" s="277" t="s">
        <v>259</v>
      </c>
      <c r="Q54" s="400" t="s">
        <v>260</v>
      </c>
      <c r="R54" s="400" t="s">
        <v>261</v>
      </c>
      <c r="S54" s="278" t="s">
        <v>262</v>
      </c>
    </row>
    <row r="55" spans="2:19" ht="12.75">
      <c r="B55" s="200">
        <v>1</v>
      </c>
      <c r="C55" s="201" t="s">
        <v>263</v>
      </c>
      <c r="D55" s="202"/>
      <c r="E55" s="203"/>
      <c r="F55" s="204">
        <f>cost_15L_bin</f>
        <v>5</v>
      </c>
      <c r="G55" s="394">
        <f>F15*number_small_HCFs_medium_cluster</f>
        <v>100</v>
      </c>
      <c r="H55" s="394">
        <f>life_50L_bin</f>
        <v>2</v>
      </c>
      <c r="I55" s="205">
        <f aca="true" t="shared" si="0" ref="I55:I61">((F55*discount_rate)/(1-(1/(1+discount_rate)^H55)))*G55</f>
        <v>261.3054187192118</v>
      </c>
      <c r="J55" s="280"/>
      <c r="L55" s="200">
        <v>1</v>
      </c>
      <c r="M55" s="201" t="s">
        <v>263</v>
      </c>
      <c r="N55" s="202"/>
      <c r="O55" s="203"/>
      <c r="P55" s="204">
        <f>cost_15L_bin</f>
        <v>5</v>
      </c>
      <c r="Q55" s="394">
        <f>F15*number_small_HCFs_large_cluster</f>
        <v>200</v>
      </c>
      <c r="R55" s="394">
        <f>life_50L_bin</f>
        <v>2</v>
      </c>
      <c r="S55" s="205">
        <f aca="true" t="shared" si="1" ref="S55:S61">((P55*discount_rate)/(1-(1/(1+discount_rate)^R55)))*Q55</f>
        <v>522.6108374384236</v>
      </c>
    </row>
    <row r="56" spans="2:19" ht="12.75">
      <c r="B56" s="200">
        <v>2</v>
      </c>
      <c r="C56" s="201" t="s">
        <v>195</v>
      </c>
      <c r="D56" s="202"/>
      <c r="E56" s="203"/>
      <c r="F56" s="204">
        <f>cost_50L_bin</f>
        <v>20</v>
      </c>
      <c r="G56" s="394">
        <f>TRUNC((total_beds_medium_HCFs_medium_cluster+total_beds_large_HCFs_medium_cluster)*F7/F9/50)+TRUNC((total_beds_medium_HCFs_medium_cluster+total_beds_large_HCFs_medium_cluster)*F7/F9/ratio_inf_to_noninf/50)+2</f>
        <v>956</v>
      </c>
      <c r="H56" s="394">
        <f>life_50L_bin</f>
        <v>2</v>
      </c>
      <c r="I56" s="205">
        <f t="shared" si="0"/>
        <v>9992.319211822658</v>
      </c>
      <c r="J56" s="280"/>
      <c r="L56" s="200">
        <v>2</v>
      </c>
      <c r="M56" s="201" t="s">
        <v>195</v>
      </c>
      <c r="N56" s="202"/>
      <c r="O56" s="203"/>
      <c r="P56" s="204">
        <f>cost_50L_bin</f>
        <v>20</v>
      </c>
      <c r="Q56" s="394">
        <f>TRUNC((total_beds_medium_HCFs_large_cluster+total_beds_large_HCFs_large_cluster)*F7/F9/50)+TRUNC((total_beds_medium_HCFs_large_cluster+total_beds_large_HCFs_large_cluster)*F7/F9/ratio_inf_to_noninf/50)+2</f>
        <v>2414</v>
      </c>
      <c r="R56" s="394">
        <f>life_50L_bin</f>
        <v>2</v>
      </c>
      <c r="S56" s="205">
        <f t="shared" si="1"/>
        <v>25231.65123152709</v>
      </c>
    </row>
    <row r="57" spans="2:19" ht="12.75">
      <c r="B57" s="200">
        <v>3</v>
      </c>
      <c r="C57" s="201" t="s">
        <v>264</v>
      </c>
      <c r="D57" s="202"/>
      <c r="E57" s="203"/>
      <c r="F57" s="204">
        <f>cost_PPE</f>
        <v>35</v>
      </c>
      <c r="G57" s="394">
        <f>number_small_HCFs_medium_cluster+number_medium_HCFs_medium_cluster+ROUND(total_beds_large_HCFs_medium_cluster*F21,0)</f>
        <v>50</v>
      </c>
      <c r="H57" s="394">
        <f>life_PPE</f>
        <v>2</v>
      </c>
      <c r="I57" s="205">
        <f t="shared" si="0"/>
        <v>914.5689655172413</v>
      </c>
      <c r="J57" s="280"/>
      <c r="L57" s="200">
        <v>3</v>
      </c>
      <c r="M57" s="201" t="s">
        <v>264</v>
      </c>
      <c r="N57" s="202"/>
      <c r="O57" s="203"/>
      <c r="P57" s="204">
        <f>cost_PPE</f>
        <v>35</v>
      </c>
      <c r="Q57" s="394">
        <f>number_small_HCFs_large_cluster+number_medium_HCFs_large_cluster+ROUND(total_beds_large_HCFs_large_cluster*F21,0)</f>
        <v>110</v>
      </c>
      <c r="R57" s="394">
        <f>life_PPE</f>
        <v>2</v>
      </c>
      <c r="S57" s="205">
        <f t="shared" si="1"/>
        <v>2012.051724137931</v>
      </c>
    </row>
    <row r="58" spans="2:19" ht="12.75">
      <c r="B58" s="200">
        <v>4</v>
      </c>
      <c r="C58" s="201" t="s">
        <v>197</v>
      </c>
      <c r="D58" s="202"/>
      <c r="E58" s="203"/>
      <c r="F58" s="204">
        <f>cost_240L_wheeled_bin</f>
        <v>45</v>
      </c>
      <c r="G58" s="396">
        <f>number_medium_HCFs_medium_cluster+ROUND(total_beds_large_HCFs_medium_cluster*F21,0)</f>
        <v>25</v>
      </c>
      <c r="H58" s="394">
        <f>life_240L_wheeled_bin</f>
        <v>4</v>
      </c>
      <c r="I58" s="205">
        <f t="shared" si="0"/>
        <v>302.655425842218</v>
      </c>
      <c r="J58" s="280"/>
      <c r="L58" s="200">
        <v>4</v>
      </c>
      <c r="M58" s="201" t="s">
        <v>197</v>
      </c>
      <c r="N58" s="202"/>
      <c r="O58" s="203"/>
      <c r="P58" s="204">
        <f>cost_240L_wheeled_bin</f>
        <v>45</v>
      </c>
      <c r="Q58" s="396">
        <f>number_medium_HCFs_large_cluster+ROUND(total_beds_large_HCFs_large_cluster*F21,0)</f>
        <v>60</v>
      </c>
      <c r="R58" s="394">
        <f>life_240L_wheeled_bin</f>
        <v>4</v>
      </c>
      <c r="S58" s="205">
        <f t="shared" si="1"/>
        <v>726.3730220213232</v>
      </c>
    </row>
    <row r="59" spans="2:19" ht="12.75">
      <c r="B59" s="200">
        <v>5</v>
      </c>
      <c r="C59" s="201" t="s">
        <v>114</v>
      </c>
      <c r="D59" s="202"/>
      <c r="E59" s="203"/>
      <c r="F59" s="204">
        <f>cost_storage_area</f>
        <v>1000</v>
      </c>
      <c r="G59" s="394">
        <f>number_medium_HCFs_medium_cluster</f>
        <v>10</v>
      </c>
      <c r="H59" s="394">
        <f>life_large_storage_area</f>
        <v>10</v>
      </c>
      <c r="I59" s="205">
        <f t="shared" si="0"/>
        <v>1172.3050660515962</v>
      </c>
      <c r="J59" s="280"/>
      <c r="L59" s="200">
        <v>5</v>
      </c>
      <c r="M59" s="201" t="s">
        <v>114</v>
      </c>
      <c r="N59" s="202"/>
      <c r="O59" s="203"/>
      <c r="P59" s="204">
        <f>cost_storage_area</f>
        <v>1000</v>
      </c>
      <c r="Q59" s="394">
        <f>number_medium_HCFs_large_cluster</f>
        <v>20</v>
      </c>
      <c r="R59" s="394">
        <f>life_large_storage_area</f>
        <v>10</v>
      </c>
      <c r="S59" s="205">
        <f t="shared" si="1"/>
        <v>2344.6101321031924</v>
      </c>
    </row>
    <row r="60" spans="2:19" ht="12.75">
      <c r="B60" s="200">
        <v>6</v>
      </c>
      <c r="C60" s="201" t="s">
        <v>115</v>
      </c>
      <c r="D60" s="202"/>
      <c r="E60" s="203"/>
      <c r="F60" s="204">
        <f>cost_large_storage_area</f>
        <v>2000</v>
      </c>
      <c r="G60" s="394">
        <f>number_large_HCFs_medium_cluster</f>
        <v>3</v>
      </c>
      <c r="H60" s="394">
        <f>life_large_storage_area</f>
        <v>10</v>
      </c>
      <c r="I60" s="205">
        <f t="shared" si="0"/>
        <v>703.3830396309577</v>
      </c>
      <c r="J60" s="280"/>
      <c r="L60" s="200">
        <v>6</v>
      </c>
      <c r="M60" s="201" t="s">
        <v>115</v>
      </c>
      <c r="N60" s="202"/>
      <c r="O60" s="203"/>
      <c r="P60" s="204">
        <f>cost_large_storage_area</f>
        <v>2000</v>
      </c>
      <c r="Q60" s="394">
        <f>number_large_HCFs_large_cluster</f>
        <v>8</v>
      </c>
      <c r="R60" s="394">
        <f>life_large_storage_area</f>
        <v>10</v>
      </c>
      <c r="S60" s="205">
        <f t="shared" si="1"/>
        <v>1875.688105682554</v>
      </c>
    </row>
    <row r="61" spans="2:19" ht="13.5" thickBot="1">
      <c r="B61" s="218">
        <v>7</v>
      </c>
      <c r="C61" s="207" t="s">
        <v>133</v>
      </c>
      <c r="D61" s="208"/>
      <c r="E61" s="209"/>
      <c r="F61" s="209">
        <f>cost_reusable_sharps_container</f>
        <v>35</v>
      </c>
      <c r="G61" s="395">
        <f>number_small_HCFs_medium_cluster*2+ROUND((number_medium_HCFs_medium_cluster+total_beds_large_HCFs_medium_cluster)*F28,0)</f>
        <v>201</v>
      </c>
      <c r="H61" s="395">
        <f>life_reusable_sharps_container</f>
        <v>2</v>
      </c>
      <c r="I61" s="211">
        <f t="shared" si="0"/>
        <v>3676.56724137931</v>
      </c>
      <c r="J61" s="280"/>
      <c r="L61" s="218">
        <v>7</v>
      </c>
      <c r="M61" s="207" t="s">
        <v>133</v>
      </c>
      <c r="N61" s="208"/>
      <c r="O61" s="209"/>
      <c r="P61" s="209">
        <f>cost_reusable_sharps_container</f>
        <v>35</v>
      </c>
      <c r="Q61" s="395">
        <f>number_small_HCFs_large_cluster*2+ROUND((number_medium_HCFs_large_cluster+total_beds_large_HCFs_large_cluster)*F28,0)</f>
        <v>502</v>
      </c>
      <c r="R61" s="395">
        <f>life_reusable_sharps_container</f>
        <v>2</v>
      </c>
      <c r="S61" s="211">
        <f t="shared" si="1"/>
        <v>9182.272413793104</v>
      </c>
    </row>
    <row r="62" spans="2:19" ht="15.75" thickTop="1">
      <c r="B62" s="30"/>
      <c r="C62" s="31" t="s">
        <v>117</v>
      </c>
      <c r="D62" s="31"/>
      <c r="E62" s="31"/>
      <c r="F62" s="31"/>
      <c r="G62" s="31"/>
      <c r="H62" s="31"/>
      <c r="I62" s="59">
        <f>SUM(I55:I61)</f>
        <v>17023.104368963195</v>
      </c>
      <c r="J62" s="77"/>
      <c r="L62" s="30"/>
      <c r="M62" s="31" t="s">
        <v>91</v>
      </c>
      <c r="N62" s="31"/>
      <c r="O62" s="31"/>
      <c r="P62" s="31"/>
      <c r="Q62" s="31"/>
      <c r="R62" s="31"/>
      <c r="S62" s="59">
        <f>SUM(S55:S61)</f>
        <v>41895.25746670362</v>
      </c>
    </row>
    <row r="63" spans="2:19" ht="15">
      <c r="B63" s="30"/>
      <c r="C63" s="31" t="s">
        <v>118</v>
      </c>
      <c r="D63" s="31"/>
      <c r="E63" s="31"/>
      <c r="F63" s="31"/>
      <c r="G63" s="31"/>
      <c r="H63" s="31"/>
      <c r="I63" s="59">
        <f>I62*number_medium_clusters</f>
        <v>34046.20873792639</v>
      </c>
      <c r="J63" s="77"/>
      <c r="L63" s="30"/>
      <c r="M63" s="31" t="s">
        <v>92</v>
      </c>
      <c r="N63" s="31"/>
      <c r="O63" s="31"/>
      <c r="P63" s="31"/>
      <c r="Q63" s="31"/>
      <c r="R63" s="31"/>
      <c r="S63" s="59">
        <f>S62*number_large_clusters</f>
        <v>41895.25746670362</v>
      </c>
    </row>
    <row r="64" spans="2:19" s="83" customFormat="1" ht="15.75" thickBot="1">
      <c r="B64" s="475" t="s">
        <v>119</v>
      </c>
      <c r="C64" s="476"/>
      <c r="D64" s="477"/>
      <c r="E64" s="477"/>
      <c r="F64" s="477"/>
      <c r="G64" s="477"/>
      <c r="H64" s="477"/>
      <c r="I64" s="478"/>
      <c r="J64" s="272"/>
      <c r="L64" s="268" t="s">
        <v>119</v>
      </c>
      <c r="M64" s="269"/>
      <c r="N64" s="270"/>
      <c r="O64" s="270"/>
      <c r="P64" s="270"/>
      <c r="Q64" s="270"/>
      <c r="R64" s="270"/>
      <c r="S64" s="271"/>
    </row>
    <row r="65" spans="2:19" ht="14.25">
      <c r="B65" s="479" t="s">
        <v>220</v>
      </c>
      <c r="C65" s="480" t="s">
        <v>258</v>
      </c>
      <c r="D65" s="481"/>
      <c r="E65" s="482"/>
      <c r="F65" s="483" t="s">
        <v>259</v>
      </c>
      <c r="G65" s="484" t="s">
        <v>260</v>
      </c>
      <c r="H65" s="483" t="s">
        <v>149</v>
      </c>
      <c r="I65" s="485" t="s">
        <v>262</v>
      </c>
      <c r="J65" s="279"/>
      <c r="L65" s="273" t="s">
        <v>220</v>
      </c>
      <c r="M65" s="274" t="s">
        <v>258</v>
      </c>
      <c r="N65" s="275"/>
      <c r="O65" s="276"/>
      <c r="P65" s="277" t="s">
        <v>259</v>
      </c>
      <c r="Q65" s="400" t="s">
        <v>260</v>
      </c>
      <c r="R65" s="277" t="s">
        <v>149</v>
      </c>
      <c r="S65" s="278" t="s">
        <v>262</v>
      </c>
    </row>
    <row r="66" spans="2:19" ht="12.75">
      <c r="B66" s="200">
        <v>1</v>
      </c>
      <c r="C66" s="201" t="s">
        <v>251</v>
      </c>
      <c r="D66" s="202"/>
      <c r="E66" s="203"/>
      <c r="F66" s="204">
        <f>cost_15L_plastic_bag</f>
        <v>0.06</v>
      </c>
      <c r="G66" s="394">
        <f>F16*number_small_HCFs_medium_cluster*F12</f>
        <v>6525</v>
      </c>
      <c r="H66" s="204"/>
      <c r="I66" s="205">
        <f>F66*G66</f>
        <v>391.5</v>
      </c>
      <c r="J66" s="280"/>
      <c r="L66" s="200">
        <v>1</v>
      </c>
      <c r="M66" s="201" t="s">
        <v>251</v>
      </c>
      <c r="N66" s="202"/>
      <c r="O66" s="203"/>
      <c r="P66" s="204">
        <f>cost_15L_plastic_bag</f>
        <v>0.06</v>
      </c>
      <c r="Q66" s="396">
        <f>F16*number_small_HCFs_large_cluster*F12</f>
        <v>13050</v>
      </c>
      <c r="R66" s="204"/>
      <c r="S66" s="205">
        <f>P66*Q66</f>
        <v>783</v>
      </c>
    </row>
    <row r="67" spans="2:19" ht="12.75">
      <c r="B67" s="200">
        <v>2</v>
      </c>
      <c r="C67" s="201" t="s">
        <v>226</v>
      </c>
      <c r="D67" s="202"/>
      <c r="E67" s="203"/>
      <c r="F67" s="204">
        <f>cost_50L_plastic_bag</f>
        <v>0.12</v>
      </c>
      <c r="G67" s="394">
        <f>(TRUNC((total_beds_medium_HCFs_medium_cluster+total_beds_large_HCFs_medium_cluster)*F7/F9/50)+TRUNC((total_beds_medium_HCFs_medium_cluster+total_beds_large_HCFs_medium_cluster)*F7/F9/ratio_inf_to_noninf/50)+2)*F14</f>
        <v>348940</v>
      </c>
      <c r="H67" s="204"/>
      <c r="I67" s="205">
        <f>F67*G67</f>
        <v>41872.799999999996</v>
      </c>
      <c r="J67" s="280"/>
      <c r="L67" s="200">
        <v>2</v>
      </c>
      <c r="M67" s="201" t="s">
        <v>226</v>
      </c>
      <c r="N67" s="202"/>
      <c r="O67" s="203"/>
      <c r="P67" s="204">
        <f>cost_50L_plastic_bag</f>
        <v>0.12</v>
      </c>
      <c r="Q67" s="394">
        <f>(TRUNC((total_beds_medium_HCFs_large_cluster+total_beds_large_HCFs_large_cluster)*F7/F9/50)+TRUNC((total_beds_medium_HCFs_large_cluster+total_beds_large_HCFs_large_cluster)*F7/F9/ratio_inf_to_noninf/50)+2)*F14</f>
        <v>881110</v>
      </c>
      <c r="R67" s="204"/>
      <c r="S67" s="205">
        <f>P67*Q67</f>
        <v>105733.2</v>
      </c>
    </row>
    <row r="68" spans="2:19" ht="12.75">
      <c r="B68" s="200">
        <v>3</v>
      </c>
      <c r="C68" s="201" t="s">
        <v>137</v>
      </c>
      <c r="D68" s="202"/>
      <c r="E68" s="203"/>
      <c r="F68" s="204">
        <f>F18</f>
        <v>20</v>
      </c>
      <c r="G68" s="394">
        <f>number_FTE_HCW_medium_cluster</f>
        <v>23</v>
      </c>
      <c r="H68" s="204"/>
      <c r="I68" s="205">
        <f>F68*G68*F13</f>
        <v>120060</v>
      </c>
      <c r="J68" s="280"/>
      <c r="L68" s="200">
        <v>3</v>
      </c>
      <c r="M68" s="201" t="s">
        <v>137</v>
      </c>
      <c r="N68" s="202"/>
      <c r="O68" s="203"/>
      <c r="P68" s="204">
        <f>F18</f>
        <v>20</v>
      </c>
      <c r="Q68" s="394">
        <f>number_FTE_HCW_large_cluster</f>
        <v>56</v>
      </c>
      <c r="R68" s="204"/>
      <c r="S68" s="205">
        <f>P68*Q68*F13</f>
        <v>292320</v>
      </c>
    </row>
    <row r="69" spans="2:19" ht="12.75">
      <c r="B69" s="200">
        <v>4</v>
      </c>
      <c r="C69" s="201" t="s">
        <v>139</v>
      </c>
      <c r="D69" s="202"/>
      <c r="E69" s="203"/>
      <c r="F69" s="204">
        <f>F22</f>
        <v>40</v>
      </c>
      <c r="G69" s="396">
        <f>number_medium_HCFs_medium_cluster*0.25+number_large_HCFs_medium_cluster</f>
        <v>5.5</v>
      </c>
      <c r="H69" s="204" t="s">
        <v>141</v>
      </c>
      <c r="I69" s="205">
        <f>F69*G69*F13</f>
        <v>57420</v>
      </c>
      <c r="J69" s="280"/>
      <c r="L69" s="200">
        <v>4</v>
      </c>
      <c r="M69" s="201" t="s">
        <v>139</v>
      </c>
      <c r="N69" s="202"/>
      <c r="O69" s="203"/>
      <c r="P69" s="204">
        <f>F22</f>
        <v>40</v>
      </c>
      <c r="Q69" s="394">
        <f>number_medium_HCFs_large_cluster*0.25+number_large_HCFs_large_cluster</f>
        <v>13</v>
      </c>
      <c r="R69" s="204" t="s">
        <v>141</v>
      </c>
      <c r="S69" s="205">
        <f>P69*Q69*F13</f>
        <v>135720</v>
      </c>
    </row>
    <row r="70" spans="2:19" ht="12.75">
      <c r="B70" s="200">
        <v>5</v>
      </c>
      <c r="C70" s="201" t="s">
        <v>277</v>
      </c>
      <c r="D70" s="202"/>
      <c r="E70" s="203"/>
      <c r="F70" s="204"/>
      <c r="G70" s="394">
        <f>maintenance_frax_cap_cost*100</f>
        <v>10</v>
      </c>
      <c r="H70" s="204" t="s">
        <v>279</v>
      </c>
      <c r="I70" s="205">
        <f>I62*maintenance_frax_cap_cost</f>
        <v>1702.3104368963195</v>
      </c>
      <c r="J70" s="280"/>
      <c r="L70" s="200">
        <v>5</v>
      </c>
      <c r="M70" s="201" t="s">
        <v>277</v>
      </c>
      <c r="N70" s="202"/>
      <c r="O70" s="203"/>
      <c r="P70" s="204"/>
      <c r="Q70" s="396">
        <f>maintenance_frax_cap_cost*100</f>
        <v>10</v>
      </c>
      <c r="R70" s="204" t="s">
        <v>279</v>
      </c>
      <c r="S70" s="205">
        <f>S62*maintenance_frax_cap_cost</f>
        <v>4189.5257466703615</v>
      </c>
    </row>
    <row r="71" spans="2:19" ht="12.75">
      <c r="B71" s="200">
        <v>6</v>
      </c>
      <c r="C71" s="201" t="s">
        <v>473</v>
      </c>
      <c r="D71" s="202"/>
      <c r="E71" s="203"/>
      <c r="F71" s="204">
        <f>F34+F35</f>
        <v>65</v>
      </c>
      <c r="G71" s="396">
        <f>((total_beds_medium_HCFs_medium_cluster+total_beds_large_HCFs_medium_cluster)*F7/ratio_inf_to_noninf)*F14/1000</f>
        <v>2267.211538461538</v>
      </c>
      <c r="H71" s="204" t="s">
        <v>72</v>
      </c>
      <c r="I71" s="205">
        <f>F71*G71</f>
        <v>147368.74999999997</v>
      </c>
      <c r="J71" s="280"/>
      <c r="L71" s="200">
        <v>6</v>
      </c>
      <c r="M71" s="201" t="s">
        <v>473</v>
      </c>
      <c r="N71" s="202"/>
      <c r="O71" s="203"/>
      <c r="P71" s="204">
        <f>F34+F35</f>
        <v>65</v>
      </c>
      <c r="Q71" s="396">
        <f>((total_beds_medium_HCFs_large_cluster+total_beds_large_HCFs_large_cluster)*F7/ratio_inf_to_noninf)*F14/1000</f>
        <v>5727.692307692307</v>
      </c>
      <c r="R71" s="204" t="s">
        <v>72</v>
      </c>
      <c r="S71" s="205">
        <f>P71*Q71</f>
        <v>372299.99999999994</v>
      </c>
    </row>
    <row r="72" spans="2:19" ht="12.75">
      <c r="B72" s="200">
        <v>7</v>
      </c>
      <c r="C72" s="201" t="s">
        <v>474</v>
      </c>
      <c r="D72" s="202"/>
      <c r="E72" s="203"/>
      <c r="F72" s="204">
        <f>F33</f>
        <v>2.5</v>
      </c>
      <c r="G72" s="396">
        <f>G43*F14</f>
        <v>53346.15384615384</v>
      </c>
      <c r="H72" s="204" t="s">
        <v>74</v>
      </c>
      <c r="I72" s="205">
        <f>F72*G72</f>
        <v>133365.3846153846</v>
      </c>
      <c r="J72" s="280"/>
      <c r="L72" s="200">
        <v>7</v>
      </c>
      <c r="M72" s="201" t="s">
        <v>474</v>
      </c>
      <c r="N72" s="202"/>
      <c r="O72" s="203"/>
      <c r="P72" s="204">
        <f>F33</f>
        <v>2.5</v>
      </c>
      <c r="Q72" s="396">
        <f>Q43*F14</f>
        <v>134769.23076923078</v>
      </c>
      <c r="R72" s="204" t="s">
        <v>74</v>
      </c>
      <c r="S72" s="205">
        <f>P72*Q72</f>
        <v>336923.07692307694</v>
      </c>
    </row>
    <row r="73" spans="2:19" ht="12.75">
      <c r="B73" s="200">
        <v>8</v>
      </c>
      <c r="C73" s="201" t="s">
        <v>127</v>
      </c>
      <c r="D73" s="202"/>
      <c r="E73" s="203"/>
      <c r="F73" s="204">
        <f>F25</f>
        <v>20</v>
      </c>
      <c r="G73" s="394">
        <f>number_small_HCFs_medium_cluster*F20</f>
        <v>75</v>
      </c>
      <c r="H73" s="204"/>
      <c r="I73" s="205">
        <f>F73*G73</f>
        <v>1500</v>
      </c>
      <c r="J73" s="280"/>
      <c r="L73" s="200">
        <v>8</v>
      </c>
      <c r="M73" s="201" t="s">
        <v>127</v>
      </c>
      <c r="N73" s="202"/>
      <c r="O73" s="203"/>
      <c r="P73" s="204">
        <f>F25</f>
        <v>20</v>
      </c>
      <c r="Q73" s="394">
        <f>number_small_HCFs_large_cluster*F20</f>
        <v>150</v>
      </c>
      <c r="R73" s="204"/>
      <c r="S73" s="205">
        <f>P73*Q73</f>
        <v>3000</v>
      </c>
    </row>
    <row r="74" spans="2:19" ht="13.5" thickBot="1">
      <c r="B74" s="218">
        <v>9</v>
      </c>
      <c r="C74" s="207" t="s">
        <v>126</v>
      </c>
      <c r="D74" s="208"/>
      <c r="E74" s="209"/>
      <c r="F74" s="209">
        <f>F26</f>
        <v>40</v>
      </c>
      <c r="G74" s="395">
        <f>(total_beds_medium_HCFs_medium_cluster+total_beds_large_HCFs_medium_cluster)*F24</f>
        <v>380</v>
      </c>
      <c r="H74" s="210"/>
      <c r="I74" s="211">
        <f>F74*G74</f>
        <v>15200</v>
      </c>
      <c r="J74" s="280"/>
      <c r="L74" s="218">
        <v>9</v>
      </c>
      <c r="M74" s="207" t="s">
        <v>126</v>
      </c>
      <c r="N74" s="208"/>
      <c r="O74" s="209"/>
      <c r="P74" s="209">
        <f>F26</f>
        <v>40</v>
      </c>
      <c r="Q74" s="395">
        <f>(total_beds_medium_HCFs_large_cluster+total_beds_large_HCFs_large_cluster)*F24</f>
        <v>960</v>
      </c>
      <c r="R74" s="210"/>
      <c r="S74" s="211">
        <f>P74*Q74</f>
        <v>38400</v>
      </c>
    </row>
    <row r="75" spans="2:19" ht="15.75" thickTop="1">
      <c r="B75" s="30"/>
      <c r="C75" s="31" t="s">
        <v>56</v>
      </c>
      <c r="D75" s="31"/>
      <c r="E75" s="31"/>
      <c r="F75" s="31"/>
      <c r="G75" s="31"/>
      <c r="H75" s="31"/>
      <c r="I75" s="59">
        <f>SUM(I66:I74)</f>
        <v>518880.74505228084</v>
      </c>
      <c r="J75" s="77"/>
      <c r="L75" s="30"/>
      <c r="M75" s="31" t="s">
        <v>40</v>
      </c>
      <c r="N75" s="31"/>
      <c r="O75" s="31"/>
      <c r="P75" s="31"/>
      <c r="Q75" s="31"/>
      <c r="R75" s="31"/>
      <c r="S75" s="59">
        <f>SUM(S66:S74)</f>
        <v>1289368.8026697473</v>
      </c>
    </row>
    <row r="76" spans="2:19" ht="15">
      <c r="B76" s="30"/>
      <c r="C76" s="31" t="s">
        <v>57</v>
      </c>
      <c r="D76" s="31"/>
      <c r="E76" s="31"/>
      <c r="F76" s="31"/>
      <c r="G76" s="31"/>
      <c r="H76" s="31"/>
      <c r="I76" s="524">
        <f>I75*number_medium_clusters</f>
        <v>1037761.4901045617</v>
      </c>
      <c r="J76" s="77"/>
      <c r="L76" s="30"/>
      <c r="M76" s="31" t="s">
        <v>41</v>
      </c>
      <c r="N76" s="31"/>
      <c r="O76" s="31"/>
      <c r="P76" s="31"/>
      <c r="Q76" s="31"/>
      <c r="R76" s="31"/>
      <c r="S76" s="59">
        <f>S75*number_large_clusters</f>
        <v>1289368.8026697473</v>
      </c>
    </row>
    <row r="77" spans="2:19" s="83" customFormat="1" ht="15">
      <c r="B77" s="268" t="s">
        <v>58</v>
      </c>
      <c r="C77" s="269"/>
      <c r="D77" s="270"/>
      <c r="E77" s="270"/>
      <c r="F77" s="270"/>
      <c r="G77" s="270"/>
      <c r="H77" s="270"/>
      <c r="I77" s="271"/>
      <c r="J77" s="272"/>
      <c r="L77" s="268" t="s">
        <v>58</v>
      </c>
      <c r="M77" s="269"/>
      <c r="N77" s="270"/>
      <c r="O77" s="270"/>
      <c r="P77" s="270"/>
      <c r="Q77" s="270"/>
      <c r="R77" s="270"/>
      <c r="S77" s="271"/>
    </row>
    <row r="78" spans="2:19" ht="14.25">
      <c r="B78" s="273" t="s">
        <v>220</v>
      </c>
      <c r="C78" s="274" t="s">
        <v>258</v>
      </c>
      <c r="D78" s="275"/>
      <c r="E78" s="276"/>
      <c r="F78" s="277" t="s">
        <v>259</v>
      </c>
      <c r="G78" s="400" t="s">
        <v>260</v>
      </c>
      <c r="H78" s="400" t="s">
        <v>261</v>
      </c>
      <c r="I78" s="278" t="s">
        <v>262</v>
      </c>
      <c r="J78" s="279"/>
      <c r="L78" s="273" t="s">
        <v>220</v>
      </c>
      <c r="M78" s="274" t="s">
        <v>258</v>
      </c>
      <c r="N78" s="275"/>
      <c r="O78" s="276"/>
      <c r="P78" s="277" t="s">
        <v>259</v>
      </c>
      <c r="Q78" s="400" t="s">
        <v>260</v>
      </c>
      <c r="R78" s="400" t="s">
        <v>261</v>
      </c>
      <c r="S78" s="278" t="s">
        <v>262</v>
      </c>
    </row>
    <row r="79" spans="2:19" ht="12.75">
      <c r="B79" s="200">
        <v>1</v>
      </c>
      <c r="C79" s="201" t="s">
        <v>470</v>
      </c>
      <c r="D79" s="202"/>
      <c r="E79" s="203"/>
      <c r="F79" s="204">
        <f>cost_1200L_autoclave</f>
        <v>50000</v>
      </c>
      <c r="G79" s="394">
        <f>TRUNC(G42/1200/F19/7)+1</f>
        <v>1</v>
      </c>
      <c r="H79" s="394">
        <f>life_1200L_autoclave</f>
        <v>10</v>
      </c>
      <c r="I79" s="205">
        <f>((F79*discount_rate)/(1-(1/(1+discount_rate)^H79)))*G79</f>
        <v>5861.525330257981</v>
      </c>
      <c r="J79" s="280"/>
      <c r="L79" s="200">
        <v>1</v>
      </c>
      <c r="M79" s="201" t="s">
        <v>93</v>
      </c>
      <c r="N79" s="202"/>
      <c r="O79" s="203"/>
      <c r="P79" s="204">
        <f>cost_2300L_autoclave</f>
        <v>67000</v>
      </c>
      <c r="Q79" s="394">
        <f>TRUNC(Q42/2300/F19/7)+1</f>
        <v>2</v>
      </c>
      <c r="R79" s="394">
        <f>life_2300L_autoclave</f>
        <v>10</v>
      </c>
      <c r="S79" s="205">
        <f>((P79*discount_rate)/(1-(1/(1+discount_rate)^R79)))*Q79</f>
        <v>15708.887885091388</v>
      </c>
    </row>
    <row r="80" spans="2:19" ht="12.75">
      <c r="B80" s="200">
        <v>2</v>
      </c>
      <c r="C80" s="201" t="s">
        <v>365</v>
      </c>
      <c r="D80" s="202"/>
      <c r="E80" s="203"/>
      <c r="F80" s="204">
        <f>cost_large_shredder</f>
        <v>59000</v>
      </c>
      <c r="G80" s="394">
        <v>1</v>
      </c>
      <c r="H80" s="394">
        <f>life_medium_shredder</f>
        <v>5</v>
      </c>
      <c r="I80" s="205">
        <f>((F80*discount_rate)/(1-(1/(1+discount_rate)^H80)))*G80</f>
        <v>12882.919712633997</v>
      </c>
      <c r="J80" s="280"/>
      <c r="L80" s="200">
        <v>2</v>
      </c>
      <c r="M80" s="201" t="s">
        <v>365</v>
      </c>
      <c r="N80" s="202"/>
      <c r="O80" s="203"/>
      <c r="P80" s="204">
        <f>cost_large_shredder</f>
        <v>59000</v>
      </c>
      <c r="Q80" s="394">
        <v>1</v>
      </c>
      <c r="R80" s="394">
        <f>life_large_shredder</f>
        <v>5</v>
      </c>
      <c r="S80" s="205">
        <f>((P80*discount_rate)/(1-(1/(1+discount_rate)^R80)))*Q80</f>
        <v>12882.919712633997</v>
      </c>
    </row>
    <row r="81" spans="2:19" ht="12.75">
      <c r="B81" s="200">
        <v>3</v>
      </c>
      <c r="C81" s="201" t="s">
        <v>398</v>
      </c>
      <c r="D81" s="202"/>
      <c r="E81" s="203"/>
      <c r="F81" s="204">
        <f>cost_incubator_kit</f>
        <v>200</v>
      </c>
      <c r="G81" s="394">
        <v>1</v>
      </c>
      <c r="H81" s="394">
        <f>life_incubator_kit</f>
        <v>5</v>
      </c>
      <c r="I81" s="205">
        <f>((F81*discount_rate)/(1-(1/(1+discount_rate)^H81)))*G81</f>
        <v>43.67091428011524</v>
      </c>
      <c r="J81" s="280"/>
      <c r="L81" s="200">
        <v>3</v>
      </c>
      <c r="M81" s="201" t="s">
        <v>398</v>
      </c>
      <c r="N81" s="202"/>
      <c r="O81" s="203"/>
      <c r="P81" s="204">
        <f>cost_incubator_kit</f>
        <v>200</v>
      </c>
      <c r="Q81" s="394">
        <v>1</v>
      </c>
      <c r="R81" s="394">
        <f>life_incubator_kit</f>
        <v>5</v>
      </c>
      <c r="S81" s="205">
        <f>((P81*discount_rate)/(1-(1/(1+discount_rate)^R81)))*Q81</f>
        <v>43.67091428011524</v>
      </c>
    </row>
    <row r="82" spans="2:19" ht="12.75">
      <c r="B82" s="200">
        <v>4</v>
      </c>
      <c r="C82" s="201" t="s">
        <v>42</v>
      </c>
      <c r="D82" s="202"/>
      <c r="E82" s="203"/>
      <c r="F82" s="204"/>
      <c r="G82" s="465">
        <v>0.05</v>
      </c>
      <c r="H82" s="465" t="s">
        <v>390</v>
      </c>
      <c r="I82" s="486">
        <f>G82*F79</f>
        <v>2500</v>
      </c>
      <c r="J82" s="280"/>
      <c r="L82" s="200">
        <v>4</v>
      </c>
      <c r="M82" s="201" t="s">
        <v>42</v>
      </c>
      <c r="N82" s="202"/>
      <c r="O82" s="203"/>
      <c r="P82" s="204"/>
      <c r="Q82" s="394">
        <v>0.05</v>
      </c>
      <c r="R82" s="394" t="s">
        <v>44</v>
      </c>
      <c r="S82" s="205">
        <f>P79*Q82</f>
        <v>3350</v>
      </c>
    </row>
    <row r="83" spans="2:19" ht="12.75">
      <c r="B83" s="468">
        <v>5</v>
      </c>
      <c r="C83" s="249" t="s">
        <v>64</v>
      </c>
      <c r="D83" s="111"/>
      <c r="E83" s="111"/>
      <c r="F83" s="204">
        <f>F29</f>
        <v>7000</v>
      </c>
      <c r="G83" s="394">
        <v>1</v>
      </c>
      <c r="H83" s="394">
        <v>10</v>
      </c>
      <c r="I83" s="205">
        <f>((F83*discount_rate)/(1-(1/(1+discount_rate)^H83)))*G83</f>
        <v>820.6135462361174</v>
      </c>
      <c r="J83" s="280"/>
      <c r="L83" s="200">
        <v>5</v>
      </c>
      <c r="M83" s="201" t="s">
        <v>64</v>
      </c>
      <c r="N83" s="202"/>
      <c r="O83" s="203"/>
      <c r="P83" s="204">
        <f>F30</f>
        <v>15000</v>
      </c>
      <c r="Q83" s="394">
        <v>1</v>
      </c>
      <c r="R83" s="394">
        <v>10</v>
      </c>
      <c r="S83" s="205">
        <f>((P83*discount_rate)/(1-(1/(1+discount_rate)^R83)))*Q83</f>
        <v>1758.4575990773942</v>
      </c>
    </row>
    <row r="84" spans="2:19" ht="15.75" thickBot="1">
      <c r="B84" s="218">
        <v>6</v>
      </c>
      <c r="C84" s="207" t="s">
        <v>63</v>
      </c>
      <c r="D84" s="208"/>
      <c r="E84" s="209"/>
      <c r="F84" s="209">
        <f>cost_transport_vehicle</f>
        <v>40000</v>
      </c>
      <c r="G84" s="395">
        <f>TRUNC(G42/5000)+1</f>
        <v>2</v>
      </c>
      <c r="H84" s="395">
        <f>life_transport_vehicle</f>
        <v>5</v>
      </c>
      <c r="I84" s="211">
        <f>((F84*discount_rate)/(1-(1/(1+discount_rate)^H84)))*G84</f>
        <v>17468.365712046096</v>
      </c>
      <c r="J84" s="77"/>
      <c r="L84" s="218">
        <v>6</v>
      </c>
      <c r="M84" s="207" t="s">
        <v>63</v>
      </c>
      <c r="N84" s="208"/>
      <c r="O84" s="209"/>
      <c r="P84" s="209">
        <f>cost_transport_vehicle</f>
        <v>40000</v>
      </c>
      <c r="Q84" s="395">
        <f>TRUNC(Q42/5000)+1</f>
        <v>4</v>
      </c>
      <c r="R84" s="395">
        <f>life_transport_vehicle</f>
        <v>5</v>
      </c>
      <c r="S84" s="211">
        <f>((P84*discount_rate)/(1-(1/(1+discount_rate)^R84)))*Q84</f>
        <v>34936.73142409219</v>
      </c>
    </row>
    <row r="85" spans="2:19" ht="15.75" thickTop="1">
      <c r="B85" s="30"/>
      <c r="C85" s="31" t="s">
        <v>66</v>
      </c>
      <c r="D85" s="31"/>
      <c r="E85" s="31"/>
      <c r="F85" s="31"/>
      <c r="G85" s="31"/>
      <c r="H85" s="31"/>
      <c r="I85" s="59">
        <f>SUM(I79:I84)</f>
        <v>39577.095215454305</v>
      </c>
      <c r="J85" s="77"/>
      <c r="L85" s="30"/>
      <c r="M85" s="31" t="s">
        <v>35</v>
      </c>
      <c r="N85" s="31"/>
      <c r="O85" s="31"/>
      <c r="P85" s="31"/>
      <c r="Q85" s="31"/>
      <c r="R85" s="31"/>
      <c r="S85" s="59">
        <f>SUM(S79:S84)</f>
        <v>68680.66753517507</v>
      </c>
    </row>
    <row r="86" spans="2:19" ht="15">
      <c r="B86" s="30"/>
      <c r="C86" s="31" t="s">
        <v>67</v>
      </c>
      <c r="D86" s="31"/>
      <c r="E86" s="31"/>
      <c r="F86" s="31"/>
      <c r="G86" s="31"/>
      <c r="H86" s="31"/>
      <c r="I86" s="59">
        <f>I85*number_medium_clusters</f>
        <v>79154.19043090861</v>
      </c>
      <c r="L86" s="30"/>
      <c r="M86" s="31" t="s">
        <v>36</v>
      </c>
      <c r="N86" s="31"/>
      <c r="O86" s="31"/>
      <c r="P86" s="31"/>
      <c r="Q86" s="31"/>
      <c r="R86" s="31"/>
      <c r="S86" s="59">
        <f>S85*number_large_clusters</f>
        <v>68680.66753517507</v>
      </c>
    </row>
    <row r="87" spans="2:19" s="83" customFormat="1" ht="15">
      <c r="B87" s="268" t="s">
        <v>59</v>
      </c>
      <c r="C87" s="269"/>
      <c r="D87" s="270"/>
      <c r="E87" s="270"/>
      <c r="F87" s="270"/>
      <c r="G87" s="270"/>
      <c r="H87" s="270"/>
      <c r="I87" s="271"/>
      <c r="J87" s="272"/>
      <c r="L87" s="268" t="s">
        <v>59</v>
      </c>
      <c r="M87" s="269"/>
      <c r="N87" s="270"/>
      <c r="O87" s="270"/>
      <c r="P87" s="270"/>
      <c r="Q87" s="270"/>
      <c r="R87" s="270"/>
      <c r="S87" s="271"/>
    </row>
    <row r="88" spans="2:19" ht="14.25">
      <c r="B88" s="273" t="s">
        <v>220</v>
      </c>
      <c r="C88" s="274" t="s">
        <v>258</v>
      </c>
      <c r="D88" s="275"/>
      <c r="E88" s="276"/>
      <c r="F88" s="277" t="s">
        <v>259</v>
      </c>
      <c r="G88" s="400" t="s">
        <v>260</v>
      </c>
      <c r="H88" s="277" t="s">
        <v>149</v>
      </c>
      <c r="I88" s="278" t="s">
        <v>262</v>
      </c>
      <c r="J88" s="279"/>
      <c r="L88" s="273" t="s">
        <v>220</v>
      </c>
      <c r="M88" s="274" t="s">
        <v>258</v>
      </c>
      <c r="N88" s="275"/>
      <c r="O88" s="276"/>
      <c r="P88" s="277" t="s">
        <v>259</v>
      </c>
      <c r="Q88" s="400" t="s">
        <v>260</v>
      </c>
      <c r="R88" s="277" t="s">
        <v>149</v>
      </c>
      <c r="S88" s="278" t="s">
        <v>262</v>
      </c>
    </row>
    <row r="89" spans="2:19" ht="12.75">
      <c r="B89" s="200">
        <v>1</v>
      </c>
      <c r="C89" s="201" t="s">
        <v>137</v>
      </c>
      <c r="D89" s="202"/>
      <c r="E89" s="203"/>
      <c r="F89" s="204">
        <f>F18</f>
        <v>20</v>
      </c>
      <c r="G89" s="394">
        <f>(F19*F31)+1</f>
        <v>3</v>
      </c>
      <c r="H89" s="204"/>
      <c r="I89" s="205">
        <f>F89*G89*F13</f>
        <v>15660</v>
      </c>
      <c r="J89" s="280"/>
      <c r="L89" s="200">
        <v>1</v>
      </c>
      <c r="M89" s="201" t="s">
        <v>137</v>
      </c>
      <c r="N89" s="202"/>
      <c r="O89" s="203"/>
      <c r="P89" s="204">
        <f>F18</f>
        <v>20</v>
      </c>
      <c r="Q89" s="394">
        <f>2*((F19*F31)+1)</f>
        <v>6</v>
      </c>
      <c r="R89" s="204"/>
      <c r="S89" s="205">
        <f>P89*Q89*F13</f>
        <v>31320</v>
      </c>
    </row>
    <row r="90" spans="2:19" ht="12.75">
      <c r="B90" s="200">
        <v>2</v>
      </c>
      <c r="C90" s="201" t="s">
        <v>85</v>
      </c>
      <c r="D90" s="202"/>
      <c r="E90" s="203"/>
      <c r="F90" s="204">
        <f>F22</f>
        <v>40</v>
      </c>
      <c r="G90" s="394">
        <v>1</v>
      </c>
      <c r="H90" s="204" t="s">
        <v>141</v>
      </c>
      <c r="I90" s="205">
        <f>F90*G90*F13</f>
        <v>10440</v>
      </c>
      <c r="J90" s="280"/>
      <c r="L90" s="200">
        <v>2</v>
      </c>
      <c r="M90" s="201" t="s">
        <v>85</v>
      </c>
      <c r="N90" s="202"/>
      <c r="O90" s="203"/>
      <c r="P90" s="204">
        <f>F22</f>
        <v>40</v>
      </c>
      <c r="Q90" s="394">
        <v>1</v>
      </c>
      <c r="R90" s="204" t="s">
        <v>141</v>
      </c>
      <c r="S90" s="205">
        <f>P90*Q90*F13</f>
        <v>10440</v>
      </c>
    </row>
    <row r="91" spans="2:19" ht="12.75">
      <c r="B91" s="200">
        <v>3</v>
      </c>
      <c r="C91" s="201" t="s">
        <v>75</v>
      </c>
      <c r="D91" s="202"/>
      <c r="E91" s="203"/>
      <c r="F91" s="204">
        <f>F32</f>
        <v>23</v>
      </c>
      <c r="G91" s="394">
        <f>G84</f>
        <v>2</v>
      </c>
      <c r="H91" s="204"/>
      <c r="I91" s="205">
        <f>F91*G91*F13</f>
        <v>12006</v>
      </c>
      <c r="J91" s="280"/>
      <c r="L91" s="200">
        <v>3</v>
      </c>
      <c r="M91" s="201" t="s">
        <v>75</v>
      </c>
      <c r="N91" s="202"/>
      <c r="O91" s="203"/>
      <c r="P91" s="204">
        <f>F32</f>
        <v>23</v>
      </c>
      <c r="Q91" s="394">
        <f>Q84</f>
        <v>4</v>
      </c>
      <c r="R91" s="204"/>
      <c r="S91" s="205">
        <f>P91*Q91*F13</f>
        <v>24012</v>
      </c>
    </row>
    <row r="92" spans="2:19" ht="12.75">
      <c r="B92" s="200">
        <v>4</v>
      </c>
      <c r="C92" s="201" t="s">
        <v>277</v>
      </c>
      <c r="D92" s="202"/>
      <c r="E92" s="203"/>
      <c r="F92" s="204"/>
      <c r="G92" s="394">
        <f>maintenance_frax_cap_cost*100</f>
        <v>10</v>
      </c>
      <c r="H92" s="204" t="s">
        <v>279</v>
      </c>
      <c r="I92" s="205">
        <f>I85*maintenance_frax_cap_cost</f>
        <v>3957.7095215454306</v>
      </c>
      <c r="J92" s="280"/>
      <c r="L92" s="200">
        <v>4</v>
      </c>
      <c r="M92" s="201" t="s">
        <v>277</v>
      </c>
      <c r="N92" s="202"/>
      <c r="O92" s="203"/>
      <c r="P92" s="204"/>
      <c r="Q92" s="394">
        <f>maintenance_frax_cap_cost*100</f>
        <v>10</v>
      </c>
      <c r="R92" s="204" t="s">
        <v>279</v>
      </c>
      <c r="S92" s="205">
        <f>S85*maintenance_frax_cap_cost</f>
        <v>6868.066753517508</v>
      </c>
    </row>
    <row r="93" spans="2:19" ht="12.75">
      <c r="B93" s="200">
        <v>5</v>
      </c>
      <c r="C93" s="201" t="s">
        <v>487</v>
      </c>
      <c r="D93" s="202"/>
      <c r="E93" s="203"/>
      <c r="F93" s="204">
        <f>F34+F35</f>
        <v>65</v>
      </c>
      <c r="G93" s="396">
        <f>G41/1000</f>
        <v>353.275</v>
      </c>
      <c r="H93" s="204" t="s">
        <v>72</v>
      </c>
      <c r="I93" s="205">
        <f>F93*G93</f>
        <v>22962.875</v>
      </c>
      <c r="J93" s="280"/>
      <c r="L93" s="200">
        <v>5</v>
      </c>
      <c r="M93" s="201" t="s">
        <v>487</v>
      </c>
      <c r="N93" s="202"/>
      <c r="O93" s="203"/>
      <c r="P93" s="204">
        <f>F34+F35</f>
        <v>65</v>
      </c>
      <c r="Q93" s="396">
        <f>Q41/1000</f>
        <v>889.05</v>
      </c>
      <c r="R93" s="204" t="s">
        <v>72</v>
      </c>
      <c r="S93" s="205">
        <f>P93*Q93</f>
        <v>57788.25</v>
      </c>
    </row>
    <row r="94" spans="2:19" ht="12.75">
      <c r="B94" s="200">
        <v>6</v>
      </c>
      <c r="C94" s="201" t="s">
        <v>270</v>
      </c>
      <c r="D94" s="202"/>
      <c r="E94" s="203"/>
      <c r="F94" s="204">
        <f>F23</f>
        <v>0.08</v>
      </c>
      <c r="G94" s="396">
        <f>(kWh_per_liter_large_autoclave+kWh_per_liter_medium_shredder)*G42*F13</f>
        <v>27483.3</v>
      </c>
      <c r="H94" s="204" t="s">
        <v>135</v>
      </c>
      <c r="I94" s="205">
        <f>F94*G94</f>
        <v>2198.664</v>
      </c>
      <c r="J94" s="280"/>
      <c r="L94" s="200">
        <v>6</v>
      </c>
      <c r="M94" s="201" t="s">
        <v>270</v>
      </c>
      <c r="N94" s="202"/>
      <c r="O94" s="203"/>
      <c r="P94" s="204">
        <f>F23</f>
        <v>0.08</v>
      </c>
      <c r="Q94" s="396">
        <f>(kWh_per_liter_large_autoclave+kWh_per_liter_medium_shredder)*Q42*F13</f>
        <v>69060.6</v>
      </c>
      <c r="R94" s="204" t="s">
        <v>135</v>
      </c>
      <c r="S94" s="205">
        <f>P94*Q94</f>
        <v>5524.848000000001</v>
      </c>
    </row>
    <row r="95" spans="2:19" ht="12.75">
      <c r="B95" s="200">
        <v>7</v>
      </c>
      <c r="C95" s="201" t="s">
        <v>272</v>
      </c>
      <c r="D95" s="202"/>
      <c r="E95" s="203"/>
      <c r="F95" s="204">
        <f>Cost_water_sewage</f>
        <v>0.5</v>
      </c>
      <c r="G95" s="394">
        <f>(TRUNC(G41/100)+1)*water_use_340L_autoclave</f>
        <v>10599</v>
      </c>
      <c r="H95" s="204" t="s">
        <v>208</v>
      </c>
      <c r="I95" s="205">
        <f>F95/1000*G95*F13</f>
        <v>1383.1695</v>
      </c>
      <c r="J95" s="280"/>
      <c r="L95" s="200">
        <v>7</v>
      </c>
      <c r="M95" s="201" t="s">
        <v>272</v>
      </c>
      <c r="N95" s="202"/>
      <c r="O95" s="203"/>
      <c r="P95" s="204">
        <f>Cost_water_sewage</f>
        <v>0.5</v>
      </c>
      <c r="Q95" s="394">
        <f>(TRUNC(Q41/100)+1)*water_use_2300L_autoclave</f>
        <v>26673</v>
      </c>
      <c r="R95" s="204" t="s">
        <v>208</v>
      </c>
      <c r="S95" s="205">
        <f>P95/1000*Q95*F13</f>
        <v>3480.8265</v>
      </c>
    </row>
    <row r="96" spans="2:19" ht="12.75">
      <c r="B96" s="251">
        <v>8</v>
      </c>
      <c r="C96" s="469" t="s">
        <v>394</v>
      </c>
      <c r="D96" s="470"/>
      <c r="E96" s="471"/>
      <c r="F96" s="471">
        <f>cost_per_autoclave_test_indicator</f>
        <v>0.187</v>
      </c>
      <c r="G96" s="472">
        <f>TRUNC(G42/340)+1</f>
        <v>20</v>
      </c>
      <c r="H96" s="473" t="s">
        <v>399</v>
      </c>
      <c r="I96" s="474">
        <f>F96*G96*F13</f>
        <v>976.1400000000001</v>
      </c>
      <c r="J96" s="280"/>
      <c r="L96" s="251">
        <v>8</v>
      </c>
      <c r="M96" s="469" t="s">
        <v>394</v>
      </c>
      <c r="N96" s="470"/>
      <c r="O96" s="471"/>
      <c r="P96" s="471">
        <f>cost_per_autoclave_test_indicator</f>
        <v>0.187</v>
      </c>
      <c r="Q96" s="472">
        <f>TRUNC(G42/2300)+1</f>
        <v>3</v>
      </c>
      <c r="R96" s="466" t="s">
        <v>399</v>
      </c>
      <c r="S96" s="474">
        <f>P96*Q96*F13</f>
        <v>146.421</v>
      </c>
    </row>
    <row r="97" spans="2:19" ht="12.75">
      <c r="B97" s="251">
        <v>9</v>
      </c>
      <c r="C97" s="469" t="s">
        <v>400</v>
      </c>
      <c r="D97" s="470"/>
      <c r="E97" s="471"/>
      <c r="F97" s="471">
        <f>annual_cost_validation_testing</f>
        <v>45</v>
      </c>
      <c r="G97" s="472"/>
      <c r="H97" s="473" t="s">
        <v>155</v>
      </c>
      <c r="I97" s="474">
        <f>F97</f>
        <v>45</v>
      </c>
      <c r="J97" s="280"/>
      <c r="L97" s="251">
        <v>9</v>
      </c>
      <c r="M97" s="469" t="s">
        <v>400</v>
      </c>
      <c r="N97" s="470"/>
      <c r="O97" s="471"/>
      <c r="P97" s="471">
        <f>annual_cost_validation_testing</f>
        <v>45</v>
      </c>
      <c r="Q97" s="472"/>
      <c r="R97" s="473" t="s">
        <v>155</v>
      </c>
      <c r="S97" s="474">
        <f>P97</f>
        <v>45</v>
      </c>
    </row>
    <row r="98" spans="2:19" ht="13.5" thickBot="1">
      <c r="B98" s="218">
        <v>10</v>
      </c>
      <c r="C98" s="207" t="s">
        <v>80</v>
      </c>
      <c r="D98" s="208"/>
      <c r="E98" s="209"/>
      <c r="F98" s="209">
        <f>F25</f>
        <v>20</v>
      </c>
      <c r="G98" s="395">
        <f>(G89+G90)*F98*2</f>
        <v>160</v>
      </c>
      <c r="H98" s="210"/>
      <c r="I98" s="211">
        <f>F98*G98</f>
        <v>3200</v>
      </c>
      <c r="J98" s="280"/>
      <c r="L98" s="218">
        <v>10</v>
      </c>
      <c r="M98" s="207" t="s">
        <v>80</v>
      </c>
      <c r="N98" s="208"/>
      <c r="O98" s="209"/>
      <c r="P98" s="209">
        <f>F25</f>
        <v>20</v>
      </c>
      <c r="Q98" s="395">
        <f>(Q89+Q90)*P98*2</f>
        <v>280</v>
      </c>
      <c r="R98" s="210"/>
      <c r="S98" s="211">
        <f>P98*Q98</f>
        <v>5600</v>
      </c>
    </row>
    <row r="99" spans="2:19" ht="15.75" thickTop="1">
      <c r="B99" s="30"/>
      <c r="C99" s="31" t="s">
        <v>82</v>
      </c>
      <c r="D99" s="31"/>
      <c r="E99" s="31"/>
      <c r="F99" s="31"/>
      <c r="G99" s="31"/>
      <c r="H99" s="31"/>
      <c r="I99" s="59">
        <f>SUM(I89:I98)</f>
        <v>72829.55802154544</v>
      </c>
      <c r="J99" s="77"/>
      <c r="L99" s="30"/>
      <c r="M99" s="31" t="s">
        <v>38</v>
      </c>
      <c r="N99" s="31"/>
      <c r="O99" s="31"/>
      <c r="P99" s="31"/>
      <c r="Q99" s="31"/>
      <c r="R99" s="31"/>
      <c r="S99" s="59">
        <f>SUM(S89:S98)</f>
        <v>145225.4122535175</v>
      </c>
    </row>
    <row r="100" spans="2:19" ht="15.75" thickBot="1">
      <c r="B100" s="33"/>
      <c r="C100" s="34" t="s">
        <v>83</v>
      </c>
      <c r="D100" s="34"/>
      <c r="E100" s="34"/>
      <c r="F100" s="34"/>
      <c r="G100" s="34"/>
      <c r="H100" s="34"/>
      <c r="I100" s="63">
        <f>I99*number_medium_clusters</f>
        <v>145659.11604309088</v>
      </c>
      <c r="J100" s="77"/>
      <c r="L100" s="33"/>
      <c r="M100" s="34" t="s">
        <v>39</v>
      </c>
      <c r="N100" s="34"/>
      <c r="O100" s="34"/>
      <c r="P100" s="34"/>
      <c r="Q100" s="34"/>
      <c r="R100" s="34"/>
      <c r="S100" s="63">
        <f>S99*number_large_clusters</f>
        <v>145225.4122535175</v>
      </c>
    </row>
    <row r="101" spans="9:19" s="111" customFormat="1" ht="13.5" thickBot="1">
      <c r="I101" s="81"/>
      <c r="J101" s="79"/>
      <c r="K101" s="281"/>
      <c r="L101" s="81"/>
      <c r="S101" s="81"/>
    </row>
    <row r="102" spans="3:19" s="111" customFormat="1" ht="15">
      <c r="C102" s="501" t="s">
        <v>442</v>
      </c>
      <c r="D102" s="502"/>
      <c r="E102" s="502"/>
      <c r="F102" s="502"/>
      <c r="G102" s="502"/>
      <c r="H102" s="502"/>
      <c r="I102" s="503"/>
      <c r="J102" s="249"/>
      <c r="K102" s="281"/>
      <c r="M102" s="501" t="s">
        <v>442</v>
      </c>
      <c r="N102" s="502"/>
      <c r="O102" s="502"/>
      <c r="P102" s="502"/>
      <c r="Q102" s="502"/>
      <c r="R102" s="502"/>
      <c r="S102" s="503"/>
    </row>
    <row r="103" spans="3:19" s="111" customFormat="1" ht="12.75">
      <c r="C103" s="504" t="s">
        <v>443</v>
      </c>
      <c r="D103" s="470"/>
      <c r="E103" s="471"/>
      <c r="F103" s="505" t="s">
        <v>259</v>
      </c>
      <c r="G103" s="506" t="s">
        <v>260</v>
      </c>
      <c r="H103" s="505" t="s">
        <v>149</v>
      </c>
      <c r="I103" s="507" t="s">
        <v>444</v>
      </c>
      <c r="J103" s="79"/>
      <c r="K103" s="281"/>
      <c r="M103" s="504" t="s">
        <v>443</v>
      </c>
      <c r="N103" s="470"/>
      <c r="O103" s="471"/>
      <c r="P103" s="505" t="s">
        <v>259</v>
      </c>
      <c r="Q103" s="506" t="s">
        <v>260</v>
      </c>
      <c r="R103" s="505" t="s">
        <v>149</v>
      </c>
      <c r="S103" s="507" t="s">
        <v>444</v>
      </c>
    </row>
    <row r="104" spans="3:19" s="111" customFormat="1" ht="15.75" thickBot="1">
      <c r="C104" s="508" t="s">
        <v>445</v>
      </c>
      <c r="D104" s="509"/>
      <c r="E104" s="510"/>
      <c r="F104" s="511">
        <v>0.4</v>
      </c>
      <c r="G104" s="513">
        <f>G45*number_medium_clusters</f>
        <v>14131</v>
      </c>
      <c r="H104" s="511" t="s">
        <v>417</v>
      </c>
      <c r="I104" s="512">
        <f>G104*F104</f>
        <v>5652.400000000001</v>
      </c>
      <c r="J104" s="79"/>
      <c r="K104" s="281"/>
      <c r="M104" s="508" t="s">
        <v>445</v>
      </c>
      <c r="N104" s="509"/>
      <c r="O104" s="510"/>
      <c r="P104" s="511">
        <v>0.4</v>
      </c>
      <c r="Q104" s="513">
        <f>Q45*number_large_clusters</f>
        <v>17781</v>
      </c>
      <c r="R104" s="511" t="s">
        <v>417</v>
      </c>
      <c r="S104" s="512">
        <f>Q104*P104</f>
        <v>7112.400000000001</v>
      </c>
    </row>
    <row r="105" spans="10:11" s="111" customFormat="1" ht="13.5" thickBot="1">
      <c r="J105" s="79"/>
      <c r="K105" s="281"/>
    </row>
    <row r="106" spans="9:19" s="520" customFormat="1" ht="13.5" thickBot="1">
      <c r="I106" s="521"/>
      <c r="J106" s="522"/>
      <c r="K106" s="523"/>
      <c r="S106" s="521"/>
    </row>
    <row r="107" spans="2:19" s="83" customFormat="1" ht="15.75" thickBot="1">
      <c r="B107" s="141" t="s">
        <v>110</v>
      </c>
      <c r="C107" s="84"/>
      <c r="D107" s="84"/>
      <c r="E107" s="84"/>
      <c r="F107" s="84"/>
      <c r="G107" s="84"/>
      <c r="H107" s="84"/>
      <c r="I107" s="85"/>
      <c r="J107" s="76"/>
      <c r="L107" s="142" t="s">
        <v>86</v>
      </c>
      <c r="M107" s="86"/>
      <c r="N107" s="87"/>
      <c r="O107" s="87"/>
      <c r="P107" s="87"/>
      <c r="Q107" s="87"/>
      <c r="R107" s="87"/>
      <c r="S107" s="88"/>
    </row>
    <row r="108" spans="2:19" s="219" customFormat="1" ht="9" customHeight="1" thickBot="1">
      <c r="B108" s="264"/>
      <c r="C108" s="27"/>
      <c r="D108" s="249"/>
      <c r="E108" s="249"/>
      <c r="F108" s="249"/>
      <c r="G108" s="249"/>
      <c r="H108" s="249"/>
      <c r="I108" s="265"/>
      <c r="J108" s="79"/>
      <c r="L108" s="266"/>
      <c r="M108" s="75"/>
      <c r="N108" s="249"/>
      <c r="O108" s="249"/>
      <c r="P108" s="249"/>
      <c r="Q108" s="249"/>
      <c r="R108" s="249"/>
      <c r="S108" s="265"/>
    </row>
    <row r="109" spans="2:19" s="83" customFormat="1" ht="15.75" thickBot="1">
      <c r="B109" s="267" t="s">
        <v>471</v>
      </c>
      <c r="C109" s="108"/>
      <c r="D109" s="267"/>
      <c r="E109" s="109"/>
      <c r="F109" s="89"/>
      <c r="G109" s="89"/>
      <c r="H109" s="89"/>
      <c r="I109" s="90"/>
      <c r="J109" s="76"/>
      <c r="L109" s="267" t="s">
        <v>472</v>
      </c>
      <c r="M109" s="108"/>
      <c r="N109" s="267"/>
      <c r="O109" s="108"/>
      <c r="P109" s="91"/>
      <c r="Q109" s="91"/>
      <c r="R109" s="89"/>
      <c r="S109" s="90"/>
    </row>
    <row r="110" spans="2:19" ht="12.75">
      <c r="B110" s="110"/>
      <c r="C110" s="111"/>
      <c r="D110" s="111"/>
      <c r="E110" s="111"/>
      <c r="F110" s="111"/>
      <c r="G110" s="111"/>
      <c r="H110" s="111"/>
      <c r="I110" s="112"/>
      <c r="L110" s="110"/>
      <c r="M110" s="111"/>
      <c r="N110" s="111"/>
      <c r="O110" s="111"/>
      <c r="P110" s="111"/>
      <c r="Q110" s="111"/>
      <c r="R110" s="111"/>
      <c r="S110" s="112"/>
    </row>
    <row r="111" spans="2:19" s="83" customFormat="1" ht="15">
      <c r="B111" s="268" t="s">
        <v>116</v>
      </c>
      <c r="C111" s="269"/>
      <c r="D111" s="270"/>
      <c r="E111" s="270"/>
      <c r="F111" s="270"/>
      <c r="G111" s="270"/>
      <c r="H111" s="270"/>
      <c r="I111" s="271"/>
      <c r="J111" s="272"/>
      <c r="L111" s="268" t="s">
        <v>116</v>
      </c>
      <c r="M111" s="269"/>
      <c r="N111" s="270"/>
      <c r="O111" s="270"/>
      <c r="P111" s="270"/>
      <c r="Q111" s="270"/>
      <c r="R111" s="270"/>
      <c r="S111" s="271"/>
    </row>
    <row r="112" spans="2:19" ht="14.25">
      <c r="B112" s="273" t="s">
        <v>220</v>
      </c>
      <c r="C112" s="274" t="s">
        <v>258</v>
      </c>
      <c r="D112" s="275"/>
      <c r="E112" s="276"/>
      <c r="F112" s="277" t="s">
        <v>259</v>
      </c>
      <c r="G112" s="400" t="s">
        <v>260</v>
      </c>
      <c r="H112" s="400" t="s">
        <v>261</v>
      </c>
      <c r="I112" s="278" t="s">
        <v>262</v>
      </c>
      <c r="J112" s="279"/>
      <c r="L112" s="273" t="s">
        <v>220</v>
      </c>
      <c r="M112" s="274" t="s">
        <v>258</v>
      </c>
      <c r="N112" s="275"/>
      <c r="O112" s="276"/>
      <c r="P112" s="277" t="s">
        <v>259</v>
      </c>
      <c r="Q112" s="400" t="s">
        <v>260</v>
      </c>
      <c r="R112" s="400" t="s">
        <v>261</v>
      </c>
      <c r="S112" s="278" t="s">
        <v>262</v>
      </c>
    </row>
    <row r="113" spans="2:19" ht="12.75">
      <c r="B113" s="200">
        <v>1</v>
      </c>
      <c r="C113" s="201" t="s">
        <v>263</v>
      </c>
      <c r="D113" s="202"/>
      <c r="E113" s="203"/>
      <c r="F113" s="204">
        <f>cost_15L_bin</f>
        <v>5</v>
      </c>
      <c r="G113" s="394">
        <f>F15*number_small_HCFs_medium_cluster</f>
        <v>100</v>
      </c>
      <c r="H113" s="394">
        <f>life_50L_bin</f>
        <v>2</v>
      </c>
      <c r="I113" s="205">
        <f aca="true" t="shared" si="2" ref="I113:I118">((F113*discount_rate)/(1-(1/(1+discount_rate)^H113)))*G113</f>
        <v>261.3054187192118</v>
      </c>
      <c r="J113" s="280"/>
      <c r="L113" s="200">
        <v>1</v>
      </c>
      <c r="M113" s="201" t="s">
        <v>263</v>
      </c>
      <c r="N113" s="202"/>
      <c r="O113" s="203"/>
      <c r="P113" s="204">
        <f>cost_15L_bin</f>
        <v>5</v>
      </c>
      <c r="Q113" s="394">
        <f>F15*number_small_HCFs_large_cluster</f>
        <v>200</v>
      </c>
      <c r="R113" s="394">
        <f>life_50L_bin</f>
        <v>2</v>
      </c>
      <c r="S113" s="205">
        <f aca="true" t="shared" si="3" ref="S113:S118">((P113*discount_rate)/(1-(1/(1+discount_rate)^R113)))*Q113</f>
        <v>522.6108374384236</v>
      </c>
    </row>
    <row r="114" spans="2:19" ht="12.75">
      <c r="B114" s="200">
        <v>2</v>
      </c>
      <c r="C114" s="201" t="s">
        <v>195</v>
      </c>
      <c r="D114" s="202"/>
      <c r="E114" s="203"/>
      <c r="F114" s="204">
        <f>cost_50L_bin</f>
        <v>20</v>
      </c>
      <c r="G114" s="394">
        <f>TRUNC((total_beds_medium_HCFs_medium_cluster+total_beds_large_HCFs_medium_cluster)*F7/F9/50)+TRUNC((total_beds_medium_HCFs_medium_cluster+total_beds_large_HCFs_medium_cluster)*F7/F9/ratio_inf_to_noninf/50)+2</f>
        <v>956</v>
      </c>
      <c r="H114" s="394">
        <f>life_50L_bin</f>
        <v>2</v>
      </c>
      <c r="I114" s="205">
        <f t="shared" si="2"/>
        <v>9992.319211822658</v>
      </c>
      <c r="J114" s="280"/>
      <c r="L114" s="200">
        <v>2</v>
      </c>
      <c r="M114" s="201" t="s">
        <v>195</v>
      </c>
      <c r="N114" s="202"/>
      <c r="O114" s="203"/>
      <c r="P114" s="204">
        <f>cost_50L_bin</f>
        <v>20</v>
      </c>
      <c r="Q114" s="394">
        <f>TRUNC((total_beds_medium_HCFs_large_cluster+total_beds_large_HCFs_large_cluster)*F7/F9/50)+TRUNC((total_beds_medium_HCFs_large_cluster+total_beds_large_HCFs_large_cluster)*F7/F9/ratio_inf_to_noninf/50)+2</f>
        <v>2414</v>
      </c>
      <c r="R114" s="394">
        <f>life_50L_bin</f>
        <v>2</v>
      </c>
      <c r="S114" s="205">
        <f t="shared" si="3"/>
        <v>25231.65123152709</v>
      </c>
    </row>
    <row r="115" spans="2:19" ht="12.75">
      <c r="B115" s="200">
        <v>3</v>
      </c>
      <c r="C115" s="201" t="s">
        <v>264</v>
      </c>
      <c r="D115" s="202"/>
      <c r="E115" s="203"/>
      <c r="F115" s="204">
        <f>cost_PPE</f>
        <v>35</v>
      </c>
      <c r="G115" s="394">
        <f>number_small_HCFs_medium_cluster+number_medium_HCFs_medium_cluster+ROUND(total_beds_large_HCFs_medium_cluster*F21,0)</f>
        <v>50</v>
      </c>
      <c r="H115" s="394">
        <f>life_PPE</f>
        <v>2</v>
      </c>
      <c r="I115" s="205">
        <f t="shared" si="2"/>
        <v>914.5689655172413</v>
      </c>
      <c r="J115" s="280"/>
      <c r="L115" s="200">
        <v>3</v>
      </c>
      <c r="M115" s="201" t="s">
        <v>264</v>
      </c>
      <c r="N115" s="202"/>
      <c r="O115" s="203"/>
      <c r="P115" s="204">
        <f>cost_PPE</f>
        <v>35</v>
      </c>
      <c r="Q115" s="394">
        <f>number_small_HCFs_large_cluster+number_medium_HCFs_large_cluster+ROUND(total_beds_large_HCFs_large_cluster*F21,0)</f>
        <v>110</v>
      </c>
      <c r="R115" s="394">
        <f>life_PPE</f>
        <v>2</v>
      </c>
      <c r="S115" s="205">
        <f t="shared" si="3"/>
        <v>2012.051724137931</v>
      </c>
    </row>
    <row r="116" spans="2:19" ht="12.75">
      <c r="B116" s="200">
        <v>4</v>
      </c>
      <c r="C116" s="201" t="s">
        <v>197</v>
      </c>
      <c r="D116" s="202"/>
      <c r="E116" s="203"/>
      <c r="F116" s="204">
        <f>cost_240L_wheeled_bin</f>
        <v>45</v>
      </c>
      <c r="G116" s="394">
        <f>number_medium_HCFs_medium_cluster+ROUND(total_beds_large_HCFs_medium_cluster*F21,0)</f>
        <v>25</v>
      </c>
      <c r="H116" s="394">
        <f>life_240L_wheeled_bin</f>
        <v>4</v>
      </c>
      <c r="I116" s="205">
        <f t="shared" si="2"/>
        <v>302.655425842218</v>
      </c>
      <c r="J116" s="280"/>
      <c r="L116" s="200">
        <v>4</v>
      </c>
      <c r="M116" s="201" t="s">
        <v>197</v>
      </c>
      <c r="N116" s="202"/>
      <c r="O116" s="203"/>
      <c r="P116" s="204">
        <f>cost_240L_wheeled_bin</f>
        <v>45</v>
      </c>
      <c r="Q116" s="394">
        <f>number_medium_HCFs_large_cluster+ROUND(total_beds_large_HCFs_large_cluster*F21,0)</f>
        <v>60</v>
      </c>
      <c r="R116" s="394">
        <f>life_240L_wheeled_bin</f>
        <v>4</v>
      </c>
      <c r="S116" s="205">
        <f t="shared" si="3"/>
        <v>726.3730220213232</v>
      </c>
    </row>
    <row r="117" spans="2:19" ht="12.75">
      <c r="B117" s="200">
        <v>5</v>
      </c>
      <c r="C117" s="201" t="s">
        <v>114</v>
      </c>
      <c r="D117" s="202"/>
      <c r="E117" s="203"/>
      <c r="F117" s="204">
        <f>cost_storage_area</f>
        <v>1000</v>
      </c>
      <c r="G117" s="394">
        <f>number_medium_HCFs_medium_cluster</f>
        <v>10</v>
      </c>
      <c r="H117" s="394">
        <f>life_large_storage_area</f>
        <v>10</v>
      </c>
      <c r="I117" s="205">
        <f t="shared" si="2"/>
        <v>1172.3050660515962</v>
      </c>
      <c r="J117" s="280"/>
      <c r="L117" s="200">
        <v>5</v>
      </c>
      <c r="M117" s="201" t="s">
        <v>114</v>
      </c>
      <c r="N117" s="202"/>
      <c r="O117" s="203"/>
      <c r="P117" s="204">
        <f>cost_storage_area</f>
        <v>1000</v>
      </c>
      <c r="Q117" s="394">
        <f>number_medium_HCFs_large_cluster</f>
        <v>20</v>
      </c>
      <c r="R117" s="394">
        <f>life_large_storage_area</f>
        <v>10</v>
      </c>
      <c r="S117" s="205">
        <f t="shared" si="3"/>
        <v>2344.6101321031924</v>
      </c>
    </row>
    <row r="118" spans="2:19" ht="13.5" thickBot="1">
      <c r="B118" s="218">
        <v>6</v>
      </c>
      <c r="C118" s="207" t="s">
        <v>115</v>
      </c>
      <c r="D118" s="208"/>
      <c r="E118" s="209"/>
      <c r="F118" s="209">
        <f>cost_large_storage_area</f>
        <v>2000</v>
      </c>
      <c r="G118" s="395">
        <f>number_large_HCFs_medium_cluster</f>
        <v>3</v>
      </c>
      <c r="H118" s="395">
        <f>life_large_storage_area</f>
        <v>10</v>
      </c>
      <c r="I118" s="211">
        <f t="shared" si="2"/>
        <v>703.3830396309577</v>
      </c>
      <c r="J118" s="280"/>
      <c r="L118" s="218">
        <v>6</v>
      </c>
      <c r="M118" s="207" t="s">
        <v>115</v>
      </c>
      <c r="N118" s="208"/>
      <c r="O118" s="209"/>
      <c r="P118" s="209">
        <f>cost_large_storage_area</f>
        <v>2000</v>
      </c>
      <c r="Q118" s="395">
        <f>number_large_HCFs_large_cluster</f>
        <v>8</v>
      </c>
      <c r="R118" s="395">
        <f>life_large_storage_area</f>
        <v>10</v>
      </c>
      <c r="S118" s="211">
        <f t="shared" si="3"/>
        <v>1875.688105682554</v>
      </c>
    </row>
    <row r="119" spans="2:19" ht="15.75" thickTop="1">
      <c r="B119" s="30"/>
      <c r="C119" s="31" t="s">
        <v>117</v>
      </c>
      <c r="D119" s="31"/>
      <c r="E119" s="31"/>
      <c r="F119" s="31"/>
      <c r="G119" s="31"/>
      <c r="H119" s="31"/>
      <c r="I119" s="59">
        <f>SUM(I113:I118)</f>
        <v>13346.537127583884</v>
      </c>
      <c r="J119" s="77"/>
      <c r="L119" s="30"/>
      <c r="M119" s="31" t="s">
        <v>91</v>
      </c>
      <c r="N119" s="31"/>
      <c r="O119" s="31"/>
      <c r="P119" s="31"/>
      <c r="Q119" s="31"/>
      <c r="R119" s="31"/>
      <c r="S119" s="59">
        <f>SUM(S113:S118)</f>
        <v>32712.985052910513</v>
      </c>
    </row>
    <row r="120" spans="2:19" ht="15">
      <c r="B120" s="30"/>
      <c r="C120" s="31" t="s">
        <v>118</v>
      </c>
      <c r="D120" s="31"/>
      <c r="E120" s="31"/>
      <c r="F120" s="31"/>
      <c r="G120" s="31"/>
      <c r="H120" s="31"/>
      <c r="I120" s="59">
        <f>I119*number_medium_clusters</f>
        <v>26693.07425516777</v>
      </c>
      <c r="J120" s="77"/>
      <c r="L120" s="30"/>
      <c r="M120" s="31" t="s">
        <v>92</v>
      </c>
      <c r="N120" s="31"/>
      <c r="O120" s="31"/>
      <c r="P120" s="31"/>
      <c r="Q120" s="31"/>
      <c r="R120" s="31"/>
      <c r="S120" s="59">
        <f>S119*number_large_clusters</f>
        <v>32712.985052910513</v>
      </c>
    </row>
    <row r="121" spans="2:19" s="83" customFormat="1" ht="15">
      <c r="B121" s="268" t="s">
        <v>119</v>
      </c>
      <c r="C121" s="269"/>
      <c r="D121" s="270"/>
      <c r="E121" s="270"/>
      <c r="F121" s="270"/>
      <c r="G121" s="270"/>
      <c r="H121" s="270"/>
      <c r="I121" s="271"/>
      <c r="J121" s="272"/>
      <c r="L121" s="268" t="s">
        <v>119</v>
      </c>
      <c r="M121" s="269"/>
      <c r="N121" s="270"/>
      <c r="O121" s="270"/>
      <c r="P121" s="270"/>
      <c r="Q121" s="270"/>
      <c r="R121" s="270"/>
      <c r="S121" s="271"/>
    </row>
    <row r="122" spans="2:19" ht="14.25">
      <c r="B122" s="273" t="s">
        <v>220</v>
      </c>
      <c r="C122" s="274" t="s">
        <v>258</v>
      </c>
      <c r="D122" s="275"/>
      <c r="E122" s="276"/>
      <c r="F122" s="277" t="s">
        <v>259</v>
      </c>
      <c r="G122" s="400" t="s">
        <v>260</v>
      </c>
      <c r="H122" s="277" t="s">
        <v>149</v>
      </c>
      <c r="I122" s="278" t="s">
        <v>262</v>
      </c>
      <c r="J122" s="279"/>
      <c r="L122" s="273" t="s">
        <v>220</v>
      </c>
      <c r="M122" s="274" t="s">
        <v>258</v>
      </c>
      <c r="N122" s="275"/>
      <c r="O122" s="276"/>
      <c r="P122" s="277" t="s">
        <v>259</v>
      </c>
      <c r="Q122" s="400" t="s">
        <v>260</v>
      </c>
      <c r="R122" s="277" t="s">
        <v>149</v>
      </c>
      <c r="S122" s="278" t="s">
        <v>262</v>
      </c>
    </row>
    <row r="123" spans="2:19" ht="12.75">
      <c r="B123" s="200">
        <v>1</v>
      </c>
      <c r="C123" s="201" t="s">
        <v>393</v>
      </c>
      <c r="D123" s="202"/>
      <c r="E123" s="203"/>
      <c r="F123" s="204">
        <f>cost_5L_plastic_sharps_container</f>
        <v>3.5</v>
      </c>
      <c r="G123" s="396">
        <f>(number_small_HCFs_medium_cluster*F11*F12+(total_beds_medium_HCFs_medium_cluster+total_beds_large_HCFs_medium_cluster)*F10*F14)/weight_syringe/capacity_safety_box</f>
        <v>7065.5</v>
      </c>
      <c r="H123" s="204" t="s">
        <v>84</v>
      </c>
      <c r="I123" s="205">
        <f>F123*G123</f>
        <v>24729.25</v>
      </c>
      <c r="J123" s="280"/>
      <c r="L123" s="200">
        <v>1</v>
      </c>
      <c r="M123" s="201" t="s">
        <v>393</v>
      </c>
      <c r="N123" s="202"/>
      <c r="O123" s="203"/>
      <c r="P123" s="204">
        <f>cost_5L_plastic_sharps_container</f>
        <v>3.5</v>
      </c>
      <c r="Q123" s="396">
        <f>(number_small_HCFs_large_cluster*F11*F12+(total_beds_medium_HCFs_large_cluster+total_beds_large_HCFs_large_cluster)*F10*F14)/weight_syringe/capacity_safety_box</f>
        <v>17781</v>
      </c>
      <c r="R123" s="204" t="s">
        <v>84</v>
      </c>
      <c r="S123" s="205">
        <f>P123*Q123</f>
        <v>62233.5</v>
      </c>
    </row>
    <row r="124" spans="2:19" ht="12.75">
      <c r="B124" s="200">
        <v>2</v>
      </c>
      <c r="C124" s="201" t="s">
        <v>251</v>
      </c>
      <c r="D124" s="202"/>
      <c r="E124" s="203"/>
      <c r="F124" s="204">
        <f>cost_15L_plastic_bag</f>
        <v>0.06</v>
      </c>
      <c r="G124" s="394">
        <f>F16*number_small_HCFs_medium_cluster*F12</f>
        <v>6525</v>
      </c>
      <c r="H124" s="204"/>
      <c r="I124" s="205">
        <f>F124*G124</f>
        <v>391.5</v>
      </c>
      <c r="J124" s="280"/>
      <c r="L124" s="200">
        <v>2</v>
      </c>
      <c r="M124" s="201" t="s">
        <v>251</v>
      </c>
      <c r="N124" s="202"/>
      <c r="O124" s="203"/>
      <c r="P124" s="204">
        <f>cost_15L_plastic_bag</f>
        <v>0.06</v>
      </c>
      <c r="Q124" s="394">
        <f>F16*number_small_HCFs_large_cluster*F12</f>
        <v>13050</v>
      </c>
      <c r="R124" s="204"/>
      <c r="S124" s="205">
        <f>P124*Q124</f>
        <v>783</v>
      </c>
    </row>
    <row r="125" spans="2:19" ht="12.75">
      <c r="B125" s="200">
        <v>3</v>
      </c>
      <c r="C125" s="201" t="s">
        <v>226</v>
      </c>
      <c r="D125" s="202"/>
      <c r="E125" s="203"/>
      <c r="F125" s="204">
        <f>cost_50L_plastic_bag</f>
        <v>0.12</v>
      </c>
      <c r="G125" s="394">
        <f>(TRUNC((total_beds_medium_HCFs_medium_cluster+total_beds_large_HCFs_medium_cluster)*F7/F9/50)+TRUNC((total_beds_medium_HCFs_medium_cluster+total_beds_large_HCFs_medium_cluster)*F7/F9/ratio_inf_to_noninf/50)+2)*F14</f>
        <v>348940</v>
      </c>
      <c r="H125" s="204"/>
      <c r="I125" s="205">
        <f>F125*G125</f>
        <v>41872.799999999996</v>
      </c>
      <c r="J125" s="280"/>
      <c r="L125" s="200">
        <v>3</v>
      </c>
      <c r="M125" s="201" t="s">
        <v>226</v>
      </c>
      <c r="N125" s="202"/>
      <c r="O125" s="203"/>
      <c r="P125" s="204">
        <f>cost_50L_plastic_bag</f>
        <v>0.12</v>
      </c>
      <c r="Q125" s="394">
        <f>(TRUNC((total_beds_medium_HCFs_large_cluster+total_beds_large_HCFs_large_cluster)*F7/F9/50)+TRUNC((total_beds_medium_HCFs_large_cluster+total_beds_large_HCFs_large_cluster)*F7/F9/ratio_inf_to_noninf/50)+2)*F14</f>
        <v>881110</v>
      </c>
      <c r="R125" s="204"/>
      <c r="S125" s="205">
        <f>P125*Q125</f>
        <v>105733.2</v>
      </c>
    </row>
    <row r="126" spans="2:19" ht="12.75">
      <c r="B126" s="200">
        <v>4</v>
      </c>
      <c r="C126" s="201" t="s">
        <v>137</v>
      </c>
      <c r="D126" s="202"/>
      <c r="E126" s="203"/>
      <c r="F126" s="204">
        <f>F18</f>
        <v>20</v>
      </c>
      <c r="G126" s="394">
        <f>number_FTE_HCW_medium_cluster</f>
        <v>23</v>
      </c>
      <c r="H126" s="204"/>
      <c r="I126" s="205">
        <f>F126*G126*F13</f>
        <v>120060</v>
      </c>
      <c r="J126" s="280"/>
      <c r="L126" s="200">
        <v>4</v>
      </c>
      <c r="M126" s="201" t="s">
        <v>137</v>
      </c>
      <c r="N126" s="202"/>
      <c r="O126" s="203"/>
      <c r="P126" s="204">
        <f>F18</f>
        <v>20</v>
      </c>
      <c r="Q126" s="394">
        <f>number_FTE_HCW_large_cluster</f>
        <v>56</v>
      </c>
      <c r="R126" s="204"/>
      <c r="S126" s="205">
        <f>P126*Q126*F13</f>
        <v>292320</v>
      </c>
    </row>
    <row r="127" spans="2:19" ht="12.75">
      <c r="B127" s="200">
        <v>5</v>
      </c>
      <c r="C127" s="201" t="s">
        <v>139</v>
      </c>
      <c r="D127" s="202"/>
      <c r="E127" s="203"/>
      <c r="F127" s="204">
        <f>F22</f>
        <v>40</v>
      </c>
      <c r="G127" s="394">
        <f>number_medium_HCFs_medium_cluster*0.25+number_large_HCFs_medium_cluster</f>
        <v>5.5</v>
      </c>
      <c r="H127" s="204" t="s">
        <v>141</v>
      </c>
      <c r="I127" s="205">
        <f>F127*G127*F13</f>
        <v>57420</v>
      </c>
      <c r="J127" s="280"/>
      <c r="L127" s="200">
        <v>5</v>
      </c>
      <c r="M127" s="201" t="s">
        <v>139</v>
      </c>
      <c r="N127" s="202"/>
      <c r="O127" s="203"/>
      <c r="P127" s="204">
        <f>F22</f>
        <v>40</v>
      </c>
      <c r="Q127" s="394">
        <f>number_medium_HCFs_large_cluster*0.25+number_large_HCFs_large_cluster</f>
        <v>13</v>
      </c>
      <c r="R127" s="204" t="s">
        <v>141</v>
      </c>
      <c r="S127" s="205">
        <f>P127*Q127*F13</f>
        <v>135720</v>
      </c>
    </row>
    <row r="128" spans="2:19" ht="12.75">
      <c r="B128" s="200">
        <v>6</v>
      </c>
      <c r="C128" s="201" t="s">
        <v>277</v>
      </c>
      <c r="D128" s="202"/>
      <c r="E128" s="203"/>
      <c r="F128" s="204"/>
      <c r="G128" s="394">
        <f>maintenance_frax_cap_cost*100</f>
        <v>10</v>
      </c>
      <c r="H128" s="204" t="s">
        <v>279</v>
      </c>
      <c r="I128" s="205">
        <f>I119*maintenance_frax_cap_cost</f>
        <v>1334.6537127583886</v>
      </c>
      <c r="J128" s="280"/>
      <c r="L128" s="200">
        <v>6</v>
      </c>
      <c r="M128" s="201" t="s">
        <v>277</v>
      </c>
      <c r="N128" s="202"/>
      <c r="O128" s="203"/>
      <c r="P128" s="204"/>
      <c r="Q128" s="394">
        <f>maintenance_frax_cap_cost*100</f>
        <v>10</v>
      </c>
      <c r="R128" s="204" t="s">
        <v>279</v>
      </c>
      <c r="S128" s="205">
        <f>S119*maintenance_frax_cap_cost</f>
        <v>3271.2985052910517</v>
      </c>
    </row>
    <row r="129" spans="2:19" ht="12.75">
      <c r="B129" s="200">
        <v>7</v>
      </c>
      <c r="C129" s="201" t="s">
        <v>473</v>
      </c>
      <c r="D129" s="202"/>
      <c r="E129" s="203"/>
      <c r="F129" s="204">
        <f>F34+F35</f>
        <v>65</v>
      </c>
      <c r="G129" s="396">
        <f>((total_beds_medium_HCFs_medium_cluster+total_beds_large_HCFs_medium_cluster)*F7/ratio_inf_to_noninf)*F14/1000</f>
        <v>2267.211538461538</v>
      </c>
      <c r="H129" s="204" t="s">
        <v>72</v>
      </c>
      <c r="I129" s="205">
        <f>F129*G129</f>
        <v>147368.74999999997</v>
      </c>
      <c r="J129" s="280"/>
      <c r="L129" s="200">
        <v>7</v>
      </c>
      <c r="M129" s="201" t="s">
        <v>473</v>
      </c>
      <c r="N129" s="202"/>
      <c r="O129" s="203"/>
      <c r="P129" s="204">
        <f>F34+F35</f>
        <v>65</v>
      </c>
      <c r="Q129" s="396">
        <f>((total_beds_medium_HCFs_large_cluster+total_beds_large_HCFs_large_cluster)*F7/ratio_inf_to_noninf)*F14/1000</f>
        <v>5727.692307692307</v>
      </c>
      <c r="R129" s="204" t="s">
        <v>72</v>
      </c>
      <c r="S129" s="205">
        <f>P129*Q129</f>
        <v>372299.99999999994</v>
      </c>
    </row>
    <row r="130" spans="2:19" ht="12.75">
      <c r="B130" s="200">
        <v>8</v>
      </c>
      <c r="C130" s="201" t="s">
        <v>474</v>
      </c>
      <c r="D130" s="202"/>
      <c r="E130" s="203"/>
      <c r="F130" s="204">
        <f>F33</f>
        <v>2.5</v>
      </c>
      <c r="G130" s="396">
        <f>G43*F14</f>
        <v>53346.15384615384</v>
      </c>
      <c r="H130" s="204" t="s">
        <v>74</v>
      </c>
      <c r="I130" s="205">
        <f>F130*G130</f>
        <v>133365.3846153846</v>
      </c>
      <c r="J130" s="280"/>
      <c r="L130" s="200">
        <v>8</v>
      </c>
      <c r="M130" s="201" t="s">
        <v>474</v>
      </c>
      <c r="N130" s="202"/>
      <c r="O130" s="203"/>
      <c r="P130" s="204">
        <f>F33</f>
        <v>2.5</v>
      </c>
      <c r="Q130" s="396">
        <f>Q43*F14</f>
        <v>134769.23076923078</v>
      </c>
      <c r="R130" s="204" t="s">
        <v>74</v>
      </c>
      <c r="S130" s="205">
        <f>P130*Q130</f>
        <v>336923.07692307694</v>
      </c>
    </row>
    <row r="131" spans="2:19" ht="12.75">
      <c r="B131" s="200">
        <v>9</v>
      </c>
      <c r="C131" s="201" t="s">
        <v>127</v>
      </c>
      <c r="D131" s="202"/>
      <c r="E131" s="203"/>
      <c r="F131" s="204">
        <f>F25</f>
        <v>20</v>
      </c>
      <c r="G131" s="394">
        <f>number_small_HCFs_medium_cluster*F20</f>
        <v>75</v>
      </c>
      <c r="H131" s="204"/>
      <c r="I131" s="205">
        <f>F131*G131</f>
        <v>1500</v>
      </c>
      <c r="J131" s="280"/>
      <c r="L131" s="200">
        <v>9</v>
      </c>
      <c r="M131" s="201" t="s">
        <v>127</v>
      </c>
      <c r="N131" s="202"/>
      <c r="O131" s="203"/>
      <c r="P131" s="204">
        <f>F25</f>
        <v>20</v>
      </c>
      <c r="Q131" s="394">
        <f>number_small_HCFs_large_cluster*F20</f>
        <v>150</v>
      </c>
      <c r="R131" s="204"/>
      <c r="S131" s="205">
        <f>P131*Q131</f>
        <v>3000</v>
      </c>
    </row>
    <row r="132" spans="2:19" ht="13.5" thickBot="1">
      <c r="B132" s="218">
        <v>10</v>
      </c>
      <c r="C132" s="207" t="s">
        <v>126</v>
      </c>
      <c r="D132" s="208"/>
      <c r="E132" s="209"/>
      <c r="F132" s="209">
        <f>F26</f>
        <v>40</v>
      </c>
      <c r="G132" s="395">
        <f>(total_beds_medium_HCFs_medium_cluster+total_beds_large_HCFs_medium_cluster)*F24</f>
        <v>380</v>
      </c>
      <c r="H132" s="210"/>
      <c r="I132" s="211">
        <f>F132*G132</f>
        <v>15200</v>
      </c>
      <c r="J132" s="280"/>
      <c r="L132" s="218">
        <v>10</v>
      </c>
      <c r="M132" s="207" t="s">
        <v>126</v>
      </c>
      <c r="N132" s="208"/>
      <c r="O132" s="209"/>
      <c r="P132" s="209">
        <f>F26</f>
        <v>40</v>
      </c>
      <c r="Q132" s="395">
        <f>(total_beds_medium_HCFs_large_cluster+total_beds_large_HCFs_large_cluster)*F24</f>
        <v>960</v>
      </c>
      <c r="R132" s="210"/>
      <c r="S132" s="211">
        <f>P132*Q132</f>
        <v>38400</v>
      </c>
    </row>
    <row r="133" spans="2:19" ht="15.75" thickTop="1">
      <c r="B133" s="30"/>
      <c r="C133" s="31" t="s">
        <v>56</v>
      </c>
      <c r="D133" s="31"/>
      <c r="E133" s="31"/>
      <c r="F133" s="31"/>
      <c r="G133" s="31"/>
      <c r="H133" s="31"/>
      <c r="I133" s="59">
        <f>SUM(I123:I132)</f>
        <v>543242.338328143</v>
      </c>
      <c r="J133" s="77"/>
      <c r="L133" s="30"/>
      <c r="M133" s="31" t="s">
        <v>40</v>
      </c>
      <c r="N133" s="31"/>
      <c r="O133" s="31"/>
      <c r="P133" s="31"/>
      <c r="Q133" s="31"/>
      <c r="R133" s="31"/>
      <c r="S133" s="59">
        <f>SUM(S123:S132)</f>
        <v>1350684.075428368</v>
      </c>
    </row>
    <row r="134" spans="2:19" ht="15">
      <c r="B134" s="30"/>
      <c r="C134" s="31" t="s">
        <v>57</v>
      </c>
      <c r="D134" s="31"/>
      <c r="E134" s="31"/>
      <c r="F134" s="31"/>
      <c r="G134" s="31"/>
      <c r="H134" s="31"/>
      <c r="I134" s="524">
        <f>I133*number_medium_clusters</f>
        <v>1086484.676656286</v>
      </c>
      <c r="J134" s="77"/>
      <c r="L134" s="30"/>
      <c r="M134" s="31" t="s">
        <v>41</v>
      </c>
      <c r="N134" s="31"/>
      <c r="O134" s="31"/>
      <c r="P134" s="31"/>
      <c r="Q134" s="31"/>
      <c r="R134" s="31"/>
      <c r="S134" s="59">
        <f>S133*number_large_clusters</f>
        <v>1350684.075428368</v>
      </c>
    </row>
    <row r="135" spans="2:19" s="83" customFormat="1" ht="15">
      <c r="B135" s="268" t="s">
        <v>58</v>
      </c>
      <c r="C135" s="269"/>
      <c r="D135" s="270"/>
      <c r="E135" s="270"/>
      <c r="F135" s="270"/>
      <c r="G135" s="270"/>
      <c r="H135" s="270"/>
      <c r="I135" s="271"/>
      <c r="J135" s="272"/>
      <c r="L135" s="268" t="s">
        <v>58</v>
      </c>
      <c r="M135" s="269"/>
      <c r="N135" s="270"/>
      <c r="O135" s="270"/>
      <c r="P135" s="270"/>
      <c r="Q135" s="270"/>
      <c r="R135" s="270"/>
      <c r="S135" s="271"/>
    </row>
    <row r="136" spans="2:19" ht="14.25">
      <c r="B136" s="273" t="s">
        <v>220</v>
      </c>
      <c r="C136" s="274" t="s">
        <v>258</v>
      </c>
      <c r="D136" s="275"/>
      <c r="E136" s="276"/>
      <c r="F136" s="277" t="s">
        <v>259</v>
      </c>
      <c r="G136" s="400" t="s">
        <v>260</v>
      </c>
      <c r="H136" s="400" t="s">
        <v>261</v>
      </c>
      <c r="I136" s="278" t="s">
        <v>262</v>
      </c>
      <c r="J136" s="279"/>
      <c r="L136" s="273" t="s">
        <v>220</v>
      </c>
      <c r="M136" s="274" t="s">
        <v>258</v>
      </c>
      <c r="N136" s="275"/>
      <c r="O136" s="276"/>
      <c r="P136" s="277" t="s">
        <v>259</v>
      </c>
      <c r="Q136" s="400" t="s">
        <v>260</v>
      </c>
      <c r="R136" s="400" t="s">
        <v>261</v>
      </c>
      <c r="S136" s="278" t="s">
        <v>262</v>
      </c>
    </row>
    <row r="137" spans="2:19" ht="12.75">
      <c r="B137" s="200">
        <v>1</v>
      </c>
      <c r="C137" s="201" t="s">
        <v>454</v>
      </c>
      <c r="D137" s="202"/>
      <c r="E137" s="203"/>
      <c r="F137" s="204">
        <f>cost_incinerator_150kg_per_hr</f>
        <v>100000</v>
      </c>
      <c r="G137" s="394">
        <f>TRUNC(G40/150/F19/7)+1</f>
        <v>1</v>
      </c>
      <c r="H137" s="394">
        <f>life_incinerator_150kg_per_hr</f>
        <v>10</v>
      </c>
      <c r="I137" s="458">
        <f>((F137*discount_rate)/(1-(1/(1+discount_rate)^H137)))*G137</f>
        <v>11723.050660515963</v>
      </c>
      <c r="J137" s="280"/>
      <c r="L137" s="200">
        <v>1</v>
      </c>
      <c r="M137" s="201" t="s">
        <v>43</v>
      </c>
      <c r="N137" s="202"/>
      <c r="O137" s="203"/>
      <c r="P137" s="204">
        <f>cost_incinerator_350kg_per_hr</f>
        <v>200000</v>
      </c>
      <c r="Q137" s="394">
        <f>TRUNC(Q40/350/F19/7)+1</f>
        <v>2</v>
      </c>
      <c r="R137" s="394">
        <f>life_incinerator_350kg_per_hr</f>
        <v>10</v>
      </c>
      <c r="S137" s="205">
        <f>((P137*discount_rate)/(1-(1/(1+discount_rate)^R137)))*Q137</f>
        <v>46892.20264206385</v>
      </c>
    </row>
    <row r="138" spans="2:19" ht="12.75">
      <c r="B138" s="200">
        <v>2</v>
      </c>
      <c r="C138" s="201" t="s">
        <v>446</v>
      </c>
      <c r="D138" s="202"/>
      <c r="E138" s="203"/>
      <c r="F138" s="204">
        <f>cost_air_pollution_control_medium_large_incinerator</f>
        <v>231000</v>
      </c>
      <c r="G138" s="394">
        <f>G137</f>
        <v>1</v>
      </c>
      <c r="H138" s="394">
        <f>life_air_pollution_control_medium_large_incinerator</f>
        <v>10</v>
      </c>
      <c r="I138" s="461">
        <f>((F138*discount_rate)/(1-(1/(1+discount_rate)^H138)))*G138</f>
        <v>27080.247025791872</v>
      </c>
      <c r="J138" s="280"/>
      <c r="L138" s="200">
        <v>2</v>
      </c>
      <c r="M138" s="201" t="s">
        <v>388</v>
      </c>
      <c r="N138" s="202"/>
      <c r="O138" s="203"/>
      <c r="P138" s="204">
        <f>cost_air_pollution_control_large_incinerator+cost_monitoring_system_large_incinerator</f>
        <v>302600</v>
      </c>
      <c r="Q138" s="394">
        <f>Q137</f>
        <v>2</v>
      </c>
      <c r="R138" s="394">
        <f>life_air_pollution_control_large_incinerator</f>
        <v>10</v>
      </c>
      <c r="S138" s="205">
        <f>((P138*discount_rate)/(1-(1/(1+discount_rate)^R138)))*Q138</f>
        <v>70947.9025974426</v>
      </c>
    </row>
    <row r="139" spans="2:19" ht="12.75">
      <c r="B139" s="200">
        <v>3</v>
      </c>
      <c r="C139" s="201" t="s">
        <v>42</v>
      </c>
      <c r="D139" s="202"/>
      <c r="E139" s="203"/>
      <c r="F139" s="204"/>
      <c r="G139" s="394">
        <v>0.15</v>
      </c>
      <c r="H139" s="220" t="s">
        <v>390</v>
      </c>
      <c r="I139" s="205">
        <f>G139*F137</f>
        <v>15000</v>
      </c>
      <c r="J139" s="280"/>
      <c r="L139" s="200">
        <v>3</v>
      </c>
      <c r="M139" s="201" t="s">
        <v>42</v>
      </c>
      <c r="N139" s="202"/>
      <c r="O139" s="203"/>
      <c r="P139" s="204"/>
      <c r="Q139" s="394">
        <v>0.15</v>
      </c>
      <c r="R139" s="394" t="s">
        <v>44</v>
      </c>
      <c r="S139" s="205">
        <f>Q139*P137</f>
        <v>30000</v>
      </c>
    </row>
    <row r="140" spans="2:19" ht="12.75">
      <c r="B140" s="200">
        <v>4</v>
      </c>
      <c r="C140" s="201" t="s">
        <v>63</v>
      </c>
      <c r="D140" s="202"/>
      <c r="E140" s="203"/>
      <c r="F140" s="204">
        <f>cost_transport_vehicle</f>
        <v>40000</v>
      </c>
      <c r="G140" s="394">
        <f>TRUNC(G42/5000)+1</f>
        <v>2</v>
      </c>
      <c r="H140" s="394">
        <f>life_transport_vehicle</f>
        <v>5</v>
      </c>
      <c r="I140" s="205">
        <f>((F140*discount_rate)/(1-(1/(1+discount_rate)^H140)))*G140</f>
        <v>17468.365712046096</v>
      </c>
      <c r="J140" s="280"/>
      <c r="L140" s="200">
        <v>4</v>
      </c>
      <c r="M140" s="201" t="s">
        <v>63</v>
      </c>
      <c r="N140" s="202"/>
      <c r="O140" s="203"/>
      <c r="P140" s="204">
        <f>cost_transport_vehicle</f>
        <v>40000</v>
      </c>
      <c r="Q140" s="394">
        <f>TRUNC(Q42/5000)+1</f>
        <v>4</v>
      </c>
      <c r="R140" s="394">
        <f>life_transport_vehicle</f>
        <v>5</v>
      </c>
      <c r="S140" s="205">
        <f>((P140*discount_rate)/(1-(1/(1+discount_rate)^R140)))*Q140</f>
        <v>34936.73142409219</v>
      </c>
    </row>
    <row r="141" spans="2:19" ht="12.75">
      <c r="B141" s="200">
        <v>5</v>
      </c>
      <c r="C141" s="201" t="s">
        <v>64</v>
      </c>
      <c r="D141" s="202"/>
      <c r="E141" s="203"/>
      <c r="F141" s="204">
        <f>F29</f>
        <v>7000</v>
      </c>
      <c r="G141" s="394">
        <v>1</v>
      </c>
      <c r="H141" s="394">
        <v>10</v>
      </c>
      <c r="I141" s="205">
        <f>((F141*discount_rate)/(1-(1/(1+discount_rate)^H141)))*G141</f>
        <v>820.6135462361174</v>
      </c>
      <c r="J141" s="280"/>
      <c r="L141" s="200">
        <v>5</v>
      </c>
      <c r="M141" s="201" t="s">
        <v>64</v>
      </c>
      <c r="N141" s="202"/>
      <c r="O141" s="203"/>
      <c r="P141" s="204">
        <f>F30</f>
        <v>15000</v>
      </c>
      <c r="Q141" s="394">
        <v>1</v>
      </c>
      <c r="R141" s="394">
        <v>10</v>
      </c>
      <c r="S141" s="205">
        <f>((P141*discount_rate)/(1-(1/(1+discount_rate)^R141)))*Q141</f>
        <v>1758.4575990773942</v>
      </c>
    </row>
    <row r="142" spans="2:19" ht="13.5" thickBot="1">
      <c r="B142" s="218">
        <v>6</v>
      </c>
      <c r="C142" s="201" t="s">
        <v>448</v>
      </c>
      <c r="D142" s="202"/>
      <c r="E142" s="203"/>
      <c r="F142" s="204">
        <f>cost_monitoring_system_medium_incinerator</f>
        <v>16600</v>
      </c>
      <c r="G142" s="394">
        <v>1</v>
      </c>
      <c r="H142" s="394">
        <f>life_emission_system_medium_incinerator</f>
        <v>10</v>
      </c>
      <c r="I142" s="459">
        <f>((F142*discount_rate)/(1-(1/(1+discount_rate)^H142)))*G142</f>
        <v>1946.0264096456497</v>
      </c>
      <c r="J142" s="280"/>
      <c r="L142" s="218">
        <v>6</v>
      </c>
      <c r="M142" s="201" t="s">
        <v>448</v>
      </c>
      <c r="N142" s="202"/>
      <c r="O142" s="203"/>
      <c r="P142" s="204">
        <f>cost_monitoring_system_medium_incinerator</f>
        <v>16600</v>
      </c>
      <c r="Q142" s="394">
        <v>1</v>
      </c>
      <c r="R142" s="394">
        <f>life_emission_system_medium_incinerator</f>
        <v>10</v>
      </c>
      <c r="S142" s="459">
        <f>((P142*discount_rate)/(1-(1/(1+discount_rate)^R142)))*Q142</f>
        <v>1946.0264096456497</v>
      </c>
    </row>
    <row r="143" spans="2:19" ht="15.75" thickTop="1">
      <c r="B143" s="30"/>
      <c r="C143" s="31" t="s">
        <v>66</v>
      </c>
      <c r="D143" s="31"/>
      <c r="E143" s="31"/>
      <c r="F143" s="31"/>
      <c r="G143" s="31"/>
      <c r="H143" s="31"/>
      <c r="I143" s="59">
        <f>SUM(I137:I142)</f>
        <v>74038.3033542357</v>
      </c>
      <c r="J143" s="77"/>
      <c r="L143" s="30"/>
      <c r="M143" s="31" t="s">
        <v>35</v>
      </c>
      <c r="N143" s="31"/>
      <c r="O143" s="31"/>
      <c r="P143" s="31"/>
      <c r="Q143" s="31"/>
      <c r="R143" s="31"/>
      <c r="S143" s="59">
        <f>SUM(S137:S142)</f>
        <v>186481.32067232172</v>
      </c>
    </row>
    <row r="144" spans="2:19" ht="15">
      <c r="B144" s="30"/>
      <c r="C144" s="31" t="s">
        <v>67</v>
      </c>
      <c r="D144" s="31"/>
      <c r="E144" s="31"/>
      <c r="F144" s="31"/>
      <c r="G144" s="31"/>
      <c r="H144" s="31"/>
      <c r="I144" s="59">
        <f>I143*number_medium_clusters</f>
        <v>148076.6067084714</v>
      </c>
      <c r="J144" s="77"/>
      <c r="L144" s="30"/>
      <c r="M144" s="31" t="s">
        <v>36</v>
      </c>
      <c r="N144" s="31"/>
      <c r="O144" s="31"/>
      <c r="P144" s="31"/>
      <c r="Q144" s="31"/>
      <c r="R144" s="31"/>
      <c r="S144" s="59">
        <f>S143*number_large_clusters</f>
        <v>186481.32067232172</v>
      </c>
    </row>
    <row r="145" spans="2:19" ht="15.75">
      <c r="B145" s="268" t="s">
        <v>59</v>
      </c>
      <c r="C145" s="269"/>
      <c r="D145" s="270"/>
      <c r="E145" s="270"/>
      <c r="F145" s="282"/>
      <c r="G145" s="282"/>
      <c r="H145" s="282"/>
      <c r="I145" s="283"/>
      <c r="J145" s="77"/>
      <c r="L145" s="268" t="s">
        <v>59</v>
      </c>
      <c r="M145" s="269"/>
      <c r="N145" s="270"/>
      <c r="O145" s="270"/>
      <c r="P145" s="270"/>
      <c r="Q145" s="282"/>
      <c r="R145" s="282"/>
      <c r="S145" s="283"/>
    </row>
    <row r="146" spans="2:19" ht="14.25">
      <c r="B146" s="273" t="s">
        <v>220</v>
      </c>
      <c r="C146" s="274" t="s">
        <v>258</v>
      </c>
      <c r="D146" s="275"/>
      <c r="E146" s="276"/>
      <c r="F146" s="277" t="s">
        <v>259</v>
      </c>
      <c r="G146" s="400" t="s">
        <v>260</v>
      </c>
      <c r="H146" s="277" t="s">
        <v>149</v>
      </c>
      <c r="I146" s="278" t="s">
        <v>262</v>
      </c>
      <c r="J146" s="279"/>
      <c r="L146" s="273" t="s">
        <v>220</v>
      </c>
      <c r="M146" s="274" t="s">
        <v>258</v>
      </c>
      <c r="N146" s="275"/>
      <c r="O146" s="276"/>
      <c r="P146" s="277" t="s">
        <v>259</v>
      </c>
      <c r="Q146" s="400" t="s">
        <v>260</v>
      </c>
      <c r="R146" s="277" t="s">
        <v>149</v>
      </c>
      <c r="S146" s="278" t="s">
        <v>262</v>
      </c>
    </row>
    <row r="147" spans="2:19" ht="12.75">
      <c r="B147" s="200">
        <v>1</v>
      </c>
      <c r="C147" s="201" t="s">
        <v>137</v>
      </c>
      <c r="D147" s="202"/>
      <c r="E147" s="203"/>
      <c r="F147" s="204">
        <f>F18</f>
        <v>20</v>
      </c>
      <c r="G147" s="394">
        <f>(F19*F31)+1</f>
        <v>3</v>
      </c>
      <c r="H147" s="204"/>
      <c r="I147" s="205">
        <f>F147*G147*F13</f>
        <v>15660</v>
      </c>
      <c r="J147" s="280"/>
      <c r="L147" s="200">
        <v>1</v>
      </c>
      <c r="M147" s="201" t="s">
        <v>137</v>
      </c>
      <c r="N147" s="202"/>
      <c r="O147" s="203"/>
      <c r="P147" s="204">
        <f>F18</f>
        <v>20</v>
      </c>
      <c r="Q147" s="394">
        <f>2*((F19*F31)+1)</f>
        <v>6</v>
      </c>
      <c r="R147" s="204"/>
      <c r="S147" s="205">
        <f>P147*Q147*F13</f>
        <v>31320</v>
      </c>
    </row>
    <row r="148" spans="2:19" ht="12.75">
      <c r="B148" s="200">
        <v>2</v>
      </c>
      <c r="C148" s="201" t="s">
        <v>85</v>
      </c>
      <c r="D148" s="202"/>
      <c r="E148" s="203"/>
      <c r="F148" s="204">
        <f>F22</f>
        <v>40</v>
      </c>
      <c r="G148" s="394">
        <v>1</v>
      </c>
      <c r="H148" s="204" t="s">
        <v>141</v>
      </c>
      <c r="I148" s="205">
        <f>F148*G148*F13</f>
        <v>10440</v>
      </c>
      <c r="J148" s="280"/>
      <c r="L148" s="200">
        <v>2</v>
      </c>
      <c r="M148" s="201" t="s">
        <v>85</v>
      </c>
      <c r="N148" s="202"/>
      <c r="O148" s="203"/>
      <c r="P148" s="204">
        <f>F22</f>
        <v>40</v>
      </c>
      <c r="Q148" s="394">
        <v>1</v>
      </c>
      <c r="R148" s="204" t="s">
        <v>141</v>
      </c>
      <c r="S148" s="205">
        <f>P148*Q148*F13</f>
        <v>10440</v>
      </c>
    </row>
    <row r="149" spans="2:19" ht="12.75">
      <c r="B149" s="200">
        <v>3</v>
      </c>
      <c r="C149" s="201" t="s">
        <v>75</v>
      </c>
      <c r="D149" s="202"/>
      <c r="E149" s="203"/>
      <c r="F149" s="204">
        <f>F32</f>
        <v>23</v>
      </c>
      <c r="G149" s="394">
        <f>G140</f>
        <v>2</v>
      </c>
      <c r="H149" s="204"/>
      <c r="I149" s="205">
        <f>F149*G149*F13</f>
        <v>12006</v>
      </c>
      <c r="J149" s="280"/>
      <c r="L149" s="200">
        <v>3</v>
      </c>
      <c r="M149" s="201" t="s">
        <v>75</v>
      </c>
      <c r="N149" s="202"/>
      <c r="O149" s="203"/>
      <c r="P149" s="204">
        <f>F32</f>
        <v>23</v>
      </c>
      <c r="Q149" s="394">
        <f>Q140</f>
        <v>4</v>
      </c>
      <c r="R149" s="204"/>
      <c r="S149" s="205">
        <f>P149*Q149*F13</f>
        <v>24012</v>
      </c>
    </row>
    <row r="150" spans="2:19" ht="12.75">
      <c r="B150" s="200">
        <v>4</v>
      </c>
      <c r="C150" s="201" t="s">
        <v>277</v>
      </c>
      <c r="D150" s="202"/>
      <c r="E150" s="203"/>
      <c r="F150" s="204"/>
      <c r="G150" s="394">
        <f>maintenance_frax_cap_cost*100</f>
        <v>10</v>
      </c>
      <c r="H150" s="204" t="s">
        <v>279</v>
      </c>
      <c r="I150" s="205">
        <f>I143*maintenance_frax_cap_cost</f>
        <v>7403.83033542357</v>
      </c>
      <c r="J150" s="280"/>
      <c r="L150" s="200">
        <v>4</v>
      </c>
      <c r="M150" s="201" t="s">
        <v>277</v>
      </c>
      <c r="N150" s="202"/>
      <c r="O150" s="203"/>
      <c r="P150" s="204"/>
      <c r="Q150" s="394">
        <f>maintenance_frax_cap_cost*100</f>
        <v>10</v>
      </c>
      <c r="R150" s="204" t="s">
        <v>279</v>
      </c>
      <c r="S150" s="205">
        <f>S143*maintenance_frax_cap_cost</f>
        <v>18648.13206723217</v>
      </c>
    </row>
    <row r="151" spans="2:19" ht="12.75">
      <c r="B151" s="200">
        <v>5</v>
      </c>
      <c r="C151" s="201" t="s">
        <v>458</v>
      </c>
      <c r="D151" s="202"/>
      <c r="E151" s="203"/>
      <c r="F151" s="204">
        <f>cost_fuel_1Ldiesel</f>
        <v>0.8</v>
      </c>
      <c r="G151" s="394">
        <f>G40/150*liters_diesel_per_hour_150kg_per_hr_incinerator*F14</f>
        <v>104390</v>
      </c>
      <c r="H151" s="204" t="s">
        <v>453</v>
      </c>
      <c r="I151" s="458">
        <f>F151*G151</f>
        <v>83512</v>
      </c>
      <c r="J151" s="280"/>
      <c r="L151" s="200">
        <v>5</v>
      </c>
      <c r="M151" s="201" t="s">
        <v>458</v>
      </c>
      <c r="N151" s="202"/>
      <c r="O151" s="203"/>
      <c r="P151" s="204">
        <f>cost_fuel_1Ldiesel</f>
        <v>0.8</v>
      </c>
      <c r="Q151" s="394">
        <f>Q40/350*liters_diesel_per_hour_350kg_per_hr_incinerator*F14</f>
        <v>250390</v>
      </c>
      <c r="R151" s="204" t="s">
        <v>453</v>
      </c>
      <c r="S151" s="205">
        <f>P151*Q151</f>
        <v>200312</v>
      </c>
    </row>
    <row r="152" spans="2:19" ht="12.75">
      <c r="B152" s="251">
        <v>6</v>
      </c>
      <c r="C152" s="455" t="s">
        <v>45</v>
      </c>
      <c r="D152" s="252"/>
      <c r="E152" s="212"/>
      <c r="F152" s="212">
        <f>annual_cost_air_pollution_control_medium_large_incinerator</f>
        <v>70286</v>
      </c>
      <c r="G152" s="456">
        <f>G137</f>
        <v>1</v>
      </c>
      <c r="H152" s="176"/>
      <c r="I152" s="205">
        <f>F152*G152</f>
        <v>70286</v>
      </c>
      <c r="J152" s="280"/>
      <c r="L152" s="200">
        <v>6</v>
      </c>
      <c r="M152" s="201" t="s">
        <v>45</v>
      </c>
      <c r="N152" s="202"/>
      <c r="O152" s="203"/>
      <c r="P152" s="204">
        <f>annual_cost_air_pollution_control_large_incinerator</f>
        <v>83100</v>
      </c>
      <c r="Q152" s="394">
        <f>Q137</f>
        <v>2</v>
      </c>
      <c r="R152" s="204"/>
      <c r="S152" s="205">
        <f>P152*Q152</f>
        <v>166200</v>
      </c>
    </row>
    <row r="153" spans="2:19" ht="12.75">
      <c r="B153" s="251">
        <v>7</v>
      </c>
      <c r="C153" s="455" t="s">
        <v>389</v>
      </c>
      <c r="D153" s="252"/>
      <c r="E153" s="212"/>
      <c r="F153" s="212">
        <f>annual_cost_emission_testing</f>
        <v>14300</v>
      </c>
      <c r="G153" s="456">
        <f>G137</f>
        <v>1</v>
      </c>
      <c r="H153" s="176"/>
      <c r="I153" s="457">
        <f>F153*G153</f>
        <v>14300</v>
      </c>
      <c r="J153" s="280"/>
      <c r="L153" s="200">
        <v>7</v>
      </c>
      <c r="M153" s="201" t="s">
        <v>389</v>
      </c>
      <c r="N153" s="202"/>
      <c r="O153" s="203"/>
      <c r="P153" s="204">
        <f>annual_cost_emission_testing</f>
        <v>14300</v>
      </c>
      <c r="Q153" s="394">
        <f>Q137</f>
        <v>2</v>
      </c>
      <c r="R153" s="204"/>
      <c r="S153" s="205">
        <f>P153*Q153</f>
        <v>28600</v>
      </c>
    </row>
    <row r="154" spans="2:19" ht="12.75">
      <c r="B154" s="251">
        <v>8</v>
      </c>
      <c r="C154" s="455" t="s">
        <v>488</v>
      </c>
      <c r="D154" s="252"/>
      <c r="E154" s="212"/>
      <c r="F154" s="212">
        <f>F33</f>
        <v>2.5</v>
      </c>
      <c r="G154" s="456">
        <f>0.1*(G41+G123*weight_5L_plastic_sharps_container)</f>
        <v>35539.465000000004</v>
      </c>
      <c r="H154" s="176" t="s">
        <v>74</v>
      </c>
      <c r="I154" s="500">
        <f>F154*G154</f>
        <v>88848.6625</v>
      </c>
      <c r="J154" s="280"/>
      <c r="L154" s="251">
        <v>8</v>
      </c>
      <c r="M154" s="455" t="s">
        <v>488</v>
      </c>
      <c r="N154" s="252"/>
      <c r="O154" s="212"/>
      <c r="P154" s="212">
        <f>F33</f>
        <v>2.5</v>
      </c>
      <c r="Q154" s="456">
        <f>0.1*(Q41+Q123*weight_5L_plastic_sharps_container)</f>
        <v>89438.43000000001</v>
      </c>
      <c r="R154" s="176" t="s">
        <v>74</v>
      </c>
      <c r="S154" s="500">
        <f>P154*Q154</f>
        <v>223596.075</v>
      </c>
    </row>
    <row r="155" spans="2:19" ht="13.5" thickBot="1">
      <c r="B155" s="218">
        <v>9</v>
      </c>
      <c r="C155" s="207" t="s">
        <v>80</v>
      </c>
      <c r="D155" s="208"/>
      <c r="E155" s="209"/>
      <c r="F155" s="209">
        <f>F25</f>
        <v>20</v>
      </c>
      <c r="G155" s="395">
        <f>(G147+G148)*F155*2</f>
        <v>160</v>
      </c>
      <c r="H155" s="210"/>
      <c r="I155" s="211">
        <f>F155*G155</f>
        <v>3200</v>
      </c>
      <c r="J155" s="280"/>
      <c r="L155" s="218">
        <v>9</v>
      </c>
      <c r="M155" s="207" t="s">
        <v>80</v>
      </c>
      <c r="N155" s="208"/>
      <c r="O155" s="209"/>
      <c r="P155" s="209">
        <f>F25</f>
        <v>20</v>
      </c>
      <c r="Q155" s="395">
        <f>(Q147+Q148)*P155*2</f>
        <v>280</v>
      </c>
      <c r="R155" s="210"/>
      <c r="S155" s="211">
        <f>P155*Q155</f>
        <v>5600</v>
      </c>
    </row>
    <row r="156" spans="2:19" ht="15.75" thickTop="1">
      <c r="B156" s="30"/>
      <c r="C156" s="31" t="s">
        <v>82</v>
      </c>
      <c r="D156" s="31"/>
      <c r="E156" s="31"/>
      <c r="F156" s="31"/>
      <c r="G156" s="31"/>
      <c r="H156" s="31"/>
      <c r="I156" s="59">
        <f>SUM(I147:I155)</f>
        <v>305656.49283542356</v>
      </c>
      <c r="J156" s="77"/>
      <c r="L156" s="30"/>
      <c r="M156" s="31" t="s">
        <v>38</v>
      </c>
      <c r="N156" s="31"/>
      <c r="O156" s="31"/>
      <c r="P156" s="31"/>
      <c r="Q156" s="31"/>
      <c r="R156" s="31"/>
      <c r="S156" s="59">
        <f>SUM(S147:S155)</f>
        <v>708728.2070672321</v>
      </c>
    </row>
    <row r="157" spans="2:19" ht="15.75" thickBot="1">
      <c r="B157" s="33"/>
      <c r="C157" s="34" t="s">
        <v>83</v>
      </c>
      <c r="D157" s="34"/>
      <c r="E157" s="34"/>
      <c r="F157" s="34"/>
      <c r="G157" s="34"/>
      <c r="H157" s="34"/>
      <c r="I157" s="63">
        <f>I156*number_medium_clusters</f>
        <v>611312.9856708471</v>
      </c>
      <c r="J157" s="77"/>
      <c r="L157" s="33"/>
      <c r="M157" s="34" t="s">
        <v>39</v>
      </c>
      <c r="N157" s="34"/>
      <c r="O157" s="34"/>
      <c r="P157" s="34"/>
      <c r="Q157" s="34"/>
      <c r="R157" s="34"/>
      <c r="S157" s="63">
        <f>S156*number_large_clusters</f>
        <v>708728.2070672321</v>
      </c>
    </row>
    <row r="158" ht="13.5" thickBot="1"/>
    <row r="159" s="520" customFormat="1" ht="13.5" thickBot="1">
      <c r="J159" s="522"/>
    </row>
    <row r="160" spans="2:19" ht="15.75" thickBot="1">
      <c r="B160" s="141" t="s">
        <v>110</v>
      </c>
      <c r="C160" s="84"/>
      <c r="D160" s="84"/>
      <c r="E160" s="84"/>
      <c r="F160" s="84"/>
      <c r="G160" s="84"/>
      <c r="H160" s="84"/>
      <c r="I160" s="85"/>
      <c r="J160" s="76"/>
      <c r="K160" s="83"/>
      <c r="L160" s="142" t="s">
        <v>86</v>
      </c>
      <c r="M160" s="86"/>
      <c r="N160" s="87"/>
      <c r="O160" s="87"/>
      <c r="P160" s="87"/>
      <c r="Q160" s="87"/>
      <c r="R160" s="87"/>
      <c r="S160" s="88"/>
    </row>
    <row r="161" spans="2:19" ht="15" thickBot="1">
      <c r="B161" s="264"/>
      <c r="C161" s="27"/>
      <c r="D161" s="249"/>
      <c r="E161" s="249"/>
      <c r="F161" s="249"/>
      <c r="G161" s="249"/>
      <c r="H161" s="249"/>
      <c r="I161" s="265"/>
      <c r="K161" s="219"/>
      <c r="L161" s="266"/>
      <c r="M161" s="75"/>
      <c r="N161" s="249"/>
      <c r="O161" s="249"/>
      <c r="P161" s="249"/>
      <c r="Q161" s="249"/>
      <c r="R161" s="249"/>
      <c r="S161" s="265"/>
    </row>
    <row r="162" spans="2:19" ht="15.75" thickBot="1">
      <c r="B162" s="143" t="s">
        <v>476</v>
      </c>
      <c r="C162" s="107"/>
      <c r="D162" s="143"/>
      <c r="E162" s="107"/>
      <c r="F162" s="89"/>
      <c r="G162" s="89"/>
      <c r="H162" s="89"/>
      <c r="I162" s="90"/>
      <c r="J162" s="76"/>
      <c r="K162" s="83"/>
      <c r="L162" s="267" t="s">
        <v>477</v>
      </c>
      <c r="M162" s="108"/>
      <c r="N162" s="267"/>
      <c r="O162" s="109"/>
      <c r="P162" s="91"/>
      <c r="Q162" s="89"/>
      <c r="R162" s="89"/>
      <c r="S162" s="90"/>
    </row>
    <row r="163" spans="2:19" ht="12.75">
      <c r="B163" s="110"/>
      <c r="C163" s="111"/>
      <c r="D163" s="111"/>
      <c r="E163" s="111"/>
      <c r="F163" s="111"/>
      <c r="G163" s="111"/>
      <c r="H163" s="111"/>
      <c r="I163" s="112"/>
      <c r="L163" s="110"/>
      <c r="M163" s="111"/>
      <c r="N163" s="111"/>
      <c r="O163" s="111"/>
      <c r="P163" s="111"/>
      <c r="Q163" s="111"/>
      <c r="R163" s="111"/>
      <c r="S163" s="112"/>
    </row>
    <row r="164" spans="2:19" ht="15">
      <c r="B164" s="268" t="s">
        <v>116</v>
      </c>
      <c r="C164" s="269"/>
      <c r="D164" s="270"/>
      <c r="E164" s="270"/>
      <c r="F164" s="270"/>
      <c r="G164" s="270"/>
      <c r="H164" s="270"/>
      <c r="I164" s="271"/>
      <c r="J164" s="272"/>
      <c r="K164" s="83"/>
      <c r="L164" s="268" t="s">
        <v>116</v>
      </c>
      <c r="M164" s="269"/>
      <c r="N164" s="270"/>
      <c r="O164" s="270"/>
      <c r="P164" s="270"/>
      <c r="Q164" s="270"/>
      <c r="R164" s="270"/>
      <c r="S164" s="271"/>
    </row>
    <row r="165" spans="2:19" ht="14.25">
      <c r="B165" s="273" t="s">
        <v>220</v>
      </c>
      <c r="C165" s="274" t="s">
        <v>258</v>
      </c>
      <c r="D165" s="275"/>
      <c r="E165" s="276"/>
      <c r="F165" s="277" t="s">
        <v>259</v>
      </c>
      <c r="G165" s="400" t="s">
        <v>260</v>
      </c>
      <c r="H165" s="400" t="s">
        <v>261</v>
      </c>
      <c r="I165" s="278" t="s">
        <v>262</v>
      </c>
      <c r="J165" s="279"/>
      <c r="L165" s="273" t="s">
        <v>220</v>
      </c>
      <c r="M165" s="274" t="s">
        <v>258</v>
      </c>
      <c r="N165" s="275"/>
      <c r="O165" s="276"/>
      <c r="P165" s="277" t="s">
        <v>259</v>
      </c>
      <c r="Q165" s="400" t="s">
        <v>260</v>
      </c>
      <c r="R165" s="400" t="s">
        <v>261</v>
      </c>
      <c r="S165" s="278" t="s">
        <v>262</v>
      </c>
    </row>
    <row r="166" spans="2:19" ht="12.75">
      <c r="B166" s="200">
        <v>1</v>
      </c>
      <c r="C166" s="201" t="s">
        <v>263</v>
      </c>
      <c r="D166" s="202"/>
      <c r="E166" s="203"/>
      <c r="F166" s="204">
        <f>cost_15L_bin</f>
        <v>5</v>
      </c>
      <c r="G166" s="394">
        <f>F15*number_small_HCFs_medium_cluster</f>
        <v>100</v>
      </c>
      <c r="H166" s="394">
        <f>life_50L_bin</f>
        <v>2</v>
      </c>
      <c r="I166" s="205">
        <f aca="true" t="shared" si="4" ref="I166:I171">((F166*discount_rate)/(1-(1/(1+discount_rate)^H166)))*G166</f>
        <v>261.3054187192118</v>
      </c>
      <c r="J166" s="280"/>
      <c r="L166" s="200">
        <v>1</v>
      </c>
      <c r="M166" s="201" t="s">
        <v>263</v>
      </c>
      <c r="N166" s="202"/>
      <c r="O166" s="203"/>
      <c r="P166" s="204">
        <f>cost_15L_bin</f>
        <v>5</v>
      </c>
      <c r="Q166" s="394">
        <f>F15*number_small_HCFs_large_cluster</f>
        <v>200</v>
      </c>
      <c r="R166" s="394">
        <f>life_50L_bin</f>
        <v>2</v>
      </c>
      <c r="S166" s="205">
        <f aca="true" t="shared" si="5" ref="S166:S171">((P166*discount_rate)/(1-(1/(1+discount_rate)^R166)))*Q166</f>
        <v>522.6108374384236</v>
      </c>
    </row>
    <row r="167" spans="2:19" ht="12.75">
      <c r="B167" s="200">
        <v>2</v>
      </c>
      <c r="C167" s="201" t="s">
        <v>195</v>
      </c>
      <c r="D167" s="202"/>
      <c r="E167" s="203"/>
      <c r="F167" s="204">
        <f>cost_50L_bin</f>
        <v>20</v>
      </c>
      <c r="G167" s="394">
        <f>TRUNC((total_beds_medium_HCFs_medium_cluster+total_beds_large_HCFs_medium_cluster)*F7/F9/50)+TRUNC((total_beds_medium_HCFs_medium_cluster+total_beds_large_HCFs_medium_cluster)*F7/F9/ratio_inf_to_noninf/50)+2</f>
        <v>956</v>
      </c>
      <c r="H167" s="394">
        <f>life_50L_bin</f>
        <v>2</v>
      </c>
      <c r="I167" s="205">
        <f t="shared" si="4"/>
        <v>9992.319211822658</v>
      </c>
      <c r="J167" s="280"/>
      <c r="L167" s="200">
        <v>2</v>
      </c>
      <c r="M167" s="201" t="s">
        <v>195</v>
      </c>
      <c r="N167" s="202"/>
      <c r="O167" s="203"/>
      <c r="P167" s="204">
        <f>cost_50L_bin</f>
        <v>20</v>
      </c>
      <c r="Q167" s="394">
        <f>TRUNC((total_beds_medium_HCFs_large_cluster+total_beds_large_HCFs_large_cluster)*F7/F9/50)+TRUNC((total_beds_medium_HCFs_large_cluster+total_beds_large_HCFs_large_cluster)*F7/F9/ratio_inf_to_noninf/50)+2</f>
        <v>2414</v>
      </c>
      <c r="R167" s="394">
        <f>life_50L_bin</f>
        <v>2</v>
      </c>
      <c r="S167" s="205">
        <f t="shared" si="5"/>
        <v>25231.65123152709</v>
      </c>
    </row>
    <row r="168" spans="2:19" ht="12.75">
      <c r="B168" s="200">
        <v>3</v>
      </c>
      <c r="C168" s="201" t="s">
        <v>264</v>
      </c>
      <c r="D168" s="202"/>
      <c r="E168" s="203"/>
      <c r="F168" s="204">
        <f>cost_PPE</f>
        <v>35</v>
      </c>
      <c r="G168" s="394">
        <f>number_small_HCFs_medium_cluster+number_medium_HCFs_medium_cluster+ROUND(total_beds_large_HCFs_medium_cluster*F21,0)</f>
        <v>50</v>
      </c>
      <c r="H168" s="394">
        <f>life_PPE</f>
        <v>2</v>
      </c>
      <c r="I168" s="205">
        <f t="shared" si="4"/>
        <v>914.5689655172413</v>
      </c>
      <c r="J168" s="280"/>
      <c r="L168" s="200">
        <v>3</v>
      </c>
      <c r="M168" s="201" t="s">
        <v>264</v>
      </c>
      <c r="N168" s="202"/>
      <c r="O168" s="203"/>
      <c r="P168" s="204">
        <f>cost_PPE</f>
        <v>35</v>
      </c>
      <c r="Q168" s="394">
        <f>number_small_HCFs_large_cluster+number_medium_HCFs_large_cluster+ROUND(total_beds_large_HCFs_large_cluster*F21,0)</f>
        <v>110</v>
      </c>
      <c r="R168" s="394">
        <f>life_PPE</f>
        <v>2</v>
      </c>
      <c r="S168" s="205">
        <f t="shared" si="5"/>
        <v>2012.051724137931</v>
      </c>
    </row>
    <row r="169" spans="2:19" ht="12.75">
      <c r="B169" s="200">
        <v>4</v>
      </c>
      <c r="C169" s="201" t="s">
        <v>197</v>
      </c>
      <c r="D169" s="202"/>
      <c r="E169" s="203"/>
      <c r="F169" s="204">
        <f>cost_240L_wheeled_bin</f>
        <v>45</v>
      </c>
      <c r="G169" s="396">
        <f>number_medium_HCFs_medium_cluster+ROUND(total_beds_large_HCFs_medium_cluster*F21,0)</f>
        <v>25</v>
      </c>
      <c r="H169" s="394">
        <f>life_240L_wheeled_bin</f>
        <v>4</v>
      </c>
      <c r="I169" s="205">
        <f t="shared" si="4"/>
        <v>302.655425842218</v>
      </c>
      <c r="J169" s="280"/>
      <c r="L169" s="200">
        <v>4</v>
      </c>
      <c r="M169" s="201" t="s">
        <v>197</v>
      </c>
      <c r="N169" s="202"/>
      <c r="O169" s="203"/>
      <c r="P169" s="204">
        <f>cost_240L_wheeled_bin</f>
        <v>45</v>
      </c>
      <c r="Q169" s="396">
        <f>number_medium_HCFs_large_cluster+ROUND(total_beds_large_HCFs_large_cluster*F21,0)</f>
        <v>60</v>
      </c>
      <c r="R169" s="394">
        <f>life_240L_wheeled_bin</f>
        <v>4</v>
      </c>
      <c r="S169" s="205">
        <f t="shared" si="5"/>
        <v>726.3730220213232</v>
      </c>
    </row>
    <row r="170" spans="2:19" ht="12.75">
      <c r="B170" s="200">
        <v>5</v>
      </c>
      <c r="C170" s="201" t="s">
        <v>114</v>
      </c>
      <c r="D170" s="202"/>
      <c r="E170" s="203"/>
      <c r="F170" s="204">
        <f>cost_storage_area</f>
        <v>1000</v>
      </c>
      <c r="G170" s="394">
        <f>number_medium_HCFs_medium_cluster</f>
        <v>10</v>
      </c>
      <c r="H170" s="394">
        <f>life_large_storage_area</f>
        <v>10</v>
      </c>
      <c r="I170" s="205">
        <f t="shared" si="4"/>
        <v>1172.3050660515962</v>
      </c>
      <c r="J170" s="280"/>
      <c r="L170" s="200">
        <v>5</v>
      </c>
      <c r="M170" s="201" t="s">
        <v>114</v>
      </c>
      <c r="N170" s="202"/>
      <c r="O170" s="203"/>
      <c r="P170" s="204">
        <f>cost_storage_area</f>
        <v>1000</v>
      </c>
      <c r="Q170" s="394">
        <f>number_medium_HCFs_large_cluster</f>
        <v>20</v>
      </c>
      <c r="R170" s="394">
        <f>life_large_storage_area</f>
        <v>10</v>
      </c>
      <c r="S170" s="205">
        <f t="shared" si="5"/>
        <v>2344.6101321031924</v>
      </c>
    </row>
    <row r="171" spans="2:19" ht="12.75">
      <c r="B171" s="200">
        <v>6</v>
      </c>
      <c r="C171" s="201" t="s">
        <v>115</v>
      </c>
      <c r="D171" s="202"/>
      <c r="E171" s="203"/>
      <c r="F171" s="204">
        <f>cost_large_storage_area</f>
        <v>2000</v>
      </c>
      <c r="G171" s="394">
        <f>number_large_HCFs_medium_cluster</f>
        <v>3</v>
      </c>
      <c r="H171" s="394">
        <f>life_large_storage_area</f>
        <v>10</v>
      </c>
      <c r="I171" s="205">
        <f t="shared" si="4"/>
        <v>703.3830396309577</v>
      </c>
      <c r="J171" s="280"/>
      <c r="L171" s="200">
        <v>6</v>
      </c>
      <c r="M171" s="201" t="s">
        <v>115</v>
      </c>
      <c r="N171" s="202"/>
      <c r="O171" s="203"/>
      <c r="P171" s="204">
        <f>cost_large_storage_area</f>
        <v>2000</v>
      </c>
      <c r="Q171" s="394">
        <f>number_large_HCFs_large_cluster</f>
        <v>8</v>
      </c>
      <c r="R171" s="394">
        <f>life_large_storage_area</f>
        <v>10</v>
      </c>
      <c r="S171" s="205">
        <f t="shared" si="5"/>
        <v>1875.688105682554</v>
      </c>
    </row>
    <row r="172" spans="2:19" ht="15">
      <c r="B172" s="30"/>
      <c r="C172" s="31" t="s">
        <v>117</v>
      </c>
      <c r="D172" s="31"/>
      <c r="E172" s="31"/>
      <c r="F172" s="31"/>
      <c r="G172" s="31"/>
      <c r="H172" s="31"/>
      <c r="I172" s="59">
        <f>SUM(I166:I171)</f>
        <v>13346.537127583884</v>
      </c>
      <c r="J172" s="77"/>
      <c r="L172" s="30"/>
      <c r="M172" s="31" t="s">
        <v>91</v>
      </c>
      <c r="N172" s="31"/>
      <c r="O172" s="31"/>
      <c r="P172" s="31"/>
      <c r="Q172" s="31"/>
      <c r="R172" s="31"/>
      <c r="S172" s="59">
        <f>SUM(S166:S171)</f>
        <v>32712.985052910513</v>
      </c>
    </row>
    <row r="173" spans="2:19" ht="15">
      <c r="B173" s="30"/>
      <c r="C173" s="31" t="s">
        <v>118</v>
      </c>
      <c r="D173" s="31"/>
      <c r="E173" s="31"/>
      <c r="F173" s="31"/>
      <c r="G173" s="31"/>
      <c r="H173" s="31"/>
      <c r="I173" s="59">
        <f>I172*number_medium_clusters</f>
        <v>26693.07425516777</v>
      </c>
      <c r="J173" s="77"/>
      <c r="L173" s="30"/>
      <c r="M173" s="31" t="s">
        <v>92</v>
      </c>
      <c r="N173" s="31"/>
      <c r="O173" s="31"/>
      <c r="P173" s="31"/>
      <c r="Q173" s="31"/>
      <c r="R173" s="31"/>
      <c r="S173" s="59">
        <f>S172*number_large_clusters</f>
        <v>32712.985052910513</v>
      </c>
    </row>
    <row r="174" spans="2:19" ht="15.75" thickBot="1">
      <c r="B174" s="475" t="s">
        <v>119</v>
      </c>
      <c r="C174" s="476"/>
      <c r="D174" s="477"/>
      <c r="E174" s="477"/>
      <c r="F174" s="477"/>
      <c r="G174" s="477"/>
      <c r="H174" s="477"/>
      <c r="I174" s="478"/>
      <c r="J174" s="272"/>
      <c r="K174" s="83"/>
      <c r="L174" s="268" t="s">
        <v>119</v>
      </c>
      <c r="M174" s="269"/>
      <c r="N174" s="270"/>
      <c r="O174" s="270"/>
      <c r="P174" s="270"/>
      <c r="Q174" s="270"/>
      <c r="R174" s="270"/>
      <c r="S174" s="271"/>
    </row>
    <row r="175" spans="2:19" ht="14.25">
      <c r="B175" s="479" t="s">
        <v>220</v>
      </c>
      <c r="C175" s="480" t="s">
        <v>258</v>
      </c>
      <c r="D175" s="481"/>
      <c r="E175" s="482"/>
      <c r="F175" s="483" t="s">
        <v>259</v>
      </c>
      <c r="G175" s="484" t="s">
        <v>260</v>
      </c>
      <c r="H175" s="483" t="s">
        <v>149</v>
      </c>
      <c r="I175" s="485" t="s">
        <v>262</v>
      </c>
      <c r="J175" s="279"/>
      <c r="L175" s="273" t="s">
        <v>220</v>
      </c>
      <c r="M175" s="274" t="s">
        <v>258</v>
      </c>
      <c r="N175" s="275"/>
      <c r="O175" s="276"/>
      <c r="P175" s="277" t="s">
        <v>259</v>
      </c>
      <c r="Q175" s="400" t="s">
        <v>260</v>
      </c>
      <c r="R175" s="277" t="s">
        <v>149</v>
      </c>
      <c r="S175" s="278" t="s">
        <v>262</v>
      </c>
    </row>
    <row r="176" spans="2:19" ht="12.75">
      <c r="B176" s="200">
        <v>1</v>
      </c>
      <c r="C176" s="201" t="s">
        <v>393</v>
      </c>
      <c r="D176" s="202"/>
      <c r="E176" s="203"/>
      <c r="F176" s="204">
        <f>cost_5L_plastic_sharps_container</f>
        <v>3.5</v>
      </c>
      <c r="G176" s="396">
        <f>(number_small_HCFs_medium_cluster*F11*F12+(total_beds_medium_HCFs_medium_cluster+total_beds_large_HCFs_medium_cluster)*F10*F14)/weight_syringe/capacity_safety_box</f>
        <v>7065.5</v>
      </c>
      <c r="H176" s="204" t="s">
        <v>84</v>
      </c>
      <c r="I176" s="205">
        <f>F176*G176</f>
        <v>24729.25</v>
      </c>
      <c r="J176" s="280"/>
      <c r="L176" s="200">
        <v>1</v>
      </c>
      <c r="M176" s="201" t="s">
        <v>393</v>
      </c>
      <c r="N176" s="202"/>
      <c r="O176" s="203"/>
      <c r="P176" s="204">
        <f>cost_5L_plastic_sharps_container</f>
        <v>3.5</v>
      </c>
      <c r="Q176" s="396">
        <f>(number_small_HCFs_large_cluster*F11*F12+(total_beds_medium_HCFs_large_cluster+total_beds_large_HCFs_large_cluster)*F10*F14)/weight_syringe/capacity_safety_box</f>
        <v>17781</v>
      </c>
      <c r="R176" s="204" t="s">
        <v>84</v>
      </c>
      <c r="S176" s="205">
        <f>P176*Q176</f>
        <v>62233.5</v>
      </c>
    </row>
    <row r="177" spans="2:19" ht="12.75">
      <c r="B177" s="200">
        <v>2</v>
      </c>
      <c r="C177" s="201" t="s">
        <v>251</v>
      </c>
      <c r="D177" s="202"/>
      <c r="E177" s="203"/>
      <c r="F177" s="204">
        <f>cost_15L_plastic_bag</f>
        <v>0.06</v>
      </c>
      <c r="G177" s="394">
        <f>F16*number_small_HCFs_medium_cluster*F12</f>
        <v>6525</v>
      </c>
      <c r="H177" s="204"/>
      <c r="I177" s="205">
        <f>F177*G177</f>
        <v>391.5</v>
      </c>
      <c r="J177" s="280"/>
      <c r="L177" s="200">
        <v>2</v>
      </c>
      <c r="M177" s="201" t="s">
        <v>251</v>
      </c>
      <c r="N177" s="202"/>
      <c r="O177" s="203"/>
      <c r="P177" s="204">
        <f>cost_15L_plastic_bag</f>
        <v>0.06</v>
      </c>
      <c r="Q177" s="396">
        <f>F16*number_small_HCFs_large_cluster*F12</f>
        <v>13050</v>
      </c>
      <c r="R177" s="204"/>
      <c r="S177" s="205">
        <f>P177*Q177</f>
        <v>783</v>
      </c>
    </row>
    <row r="178" spans="2:19" ht="12.75">
      <c r="B178" s="200">
        <v>3</v>
      </c>
      <c r="C178" s="201" t="s">
        <v>226</v>
      </c>
      <c r="D178" s="202"/>
      <c r="E178" s="203"/>
      <c r="F178" s="204">
        <f>cost_50L_plastic_bag</f>
        <v>0.12</v>
      </c>
      <c r="G178" s="394">
        <f>(TRUNC((total_beds_medium_HCFs_medium_cluster+total_beds_large_HCFs_medium_cluster)*F7/F9/50)+TRUNC((total_beds_medium_HCFs_medium_cluster+total_beds_large_HCFs_medium_cluster)*F7/F9/ratio_inf_to_noninf/50)+2)*F14</f>
        <v>348940</v>
      </c>
      <c r="H178" s="204"/>
      <c r="I178" s="205">
        <f>F178*G178</f>
        <v>41872.799999999996</v>
      </c>
      <c r="J178" s="280"/>
      <c r="L178" s="200">
        <v>3</v>
      </c>
      <c r="M178" s="201" t="s">
        <v>226</v>
      </c>
      <c r="N178" s="202"/>
      <c r="O178" s="203"/>
      <c r="P178" s="204">
        <f>cost_50L_plastic_bag</f>
        <v>0.12</v>
      </c>
      <c r="Q178" s="394">
        <f>(TRUNC((total_beds_medium_HCFs_large_cluster+total_beds_large_HCFs_large_cluster)*F7/F9/50)+TRUNC((total_beds_medium_HCFs_large_cluster+total_beds_large_HCFs_large_cluster)*F7/F9/ratio_inf_to_noninf/50)+2)*F14</f>
        <v>881110</v>
      </c>
      <c r="R178" s="204"/>
      <c r="S178" s="205">
        <f>P178*Q178</f>
        <v>105733.2</v>
      </c>
    </row>
    <row r="179" spans="2:19" ht="12.75">
      <c r="B179" s="200">
        <v>4</v>
      </c>
      <c r="C179" s="201" t="s">
        <v>137</v>
      </c>
      <c r="D179" s="202"/>
      <c r="E179" s="203"/>
      <c r="F179" s="204">
        <f>F18</f>
        <v>20</v>
      </c>
      <c r="G179" s="394">
        <f>number_FTE_HCW_medium_cluster</f>
        <v>23</v>
      </c>
      <c r="H179" s="204"/>
      <c r="I179" s="205">
        <f>F179*G179*F13</f>
        <v>120060</v>
      </c>
      <c r="J179" s="280"/>
      <c r="L179" s="200">
        <v>4</v>
      </c>
      <c r="M179" s="201" t="s">
        <v>137</v>
      </c>
      <c r="N179" s="202"/>
      <c r="O179" s="203"/>
      <c r="P179" s="204">
        <f>F18</f>
        <v>20</v>
      </c>
      <c r="Q179" s="394">
        <f>number_FTE_HCW_large_cluster</f>
        <v>56</v>
      </c>
      <c r="R179" s="204"/>
      <c r="S179" s="205">
        <f>P179*Q179*F13</f>
        <v>292320</v>
      </c>
    </row>
    <row r="180" spans="2:19" ht="12.75">
      <c r="B180" s="200">
        <v>5</v>
      </c>
      <c r="C180" s="201" t="s">
        <v>139</v>
      </c>
      <c r="D180" s="202"/>
      <c r="E180" s="203"/>
      <c r="F180" s="204">
        <f>F22</f>
        <v>40</v>
      </c>
      <c r="G180" s="396">
        <f>number_medium_HCFs_medium_cluster*0.25+number_large_HCFs_medium_cluster</f>
        <v>5.5</v>
      </c>
      <c r="H180" s="204" t="s">
        <v>141</v>
      </c>
      <c r="I180" s="205">
        <f>F180*G180*F13</f>
        <v>57420</v>
      </c>
      <c r="J180" s="280"/>
      <c r="L180" s="200">
        <v>5</v>
      </c>
      <c r="M180" s="201" t="s">
        <v>139</v>
      </c>
      <c r="N180" s="202"/>
      <c r="O180" s="203"/>
      <c r="P180" s="204">
        <f>F22</f>
        <v>40</v>
      </c>
      <c r="Q180" s="394">
        <f>number_medium_HCFs_large_cluster*0.25+number_large_HCFs_large_cluster</f>
        <v>13</v>
      </c>
      <c r="R180" s="204" t="s">
        <v>141</v>
      </c>
      <c r="S180" s="205">
        <f>P180*Q180*F13</f>
        <v>135720</v>
      </c>
    </row>
    <row r="181" spans="2:19" ht="12.75">
      <c r="B181" s="200">
        <v>6</v>
      </c>
      <c r="C181" s="201" t="s">
        <v>277</v>
      </c>
      <c r="D181" s="202"/>
      <c r="E181" s="203"/>
      <c r="F181" s="204"/>
      <c r="G181" s="394">
        <f>maintenance_frax_cap_cost*100</f>
        <v>10</v>
      </c>
      <c r="H181" s="204" t="s">
        <v>279</v>
      </c>
      <c r="I181" s="205">
        <f>I172*maintenance_frax_cap_cost</f>
        <v>1334.6537127583886</v>
      </c>
      <c r="J181" s="280"/>
      <c r="L181" s="200">
        <v>6</v>
      </c>
      <c r="M181" s="201" t="s">
        <v>277</v>
      </c>
      <c r="N181" s="202"/>
      <c r="O181" s="203"/>
      <c r="P181" s="204"/>
      <c r="Q181" s="396">
        <f>maintenance_frax_cap_cost*100</f>
        <v>10</v>
      </c>
      <c r="R181" s="204" t="s">
        <v>279</v>
      </c>
      <c r="S181" s="205">
        <f>S172*maintenance_frax_cap_cost</f>
        <v>3271.2985052910517</v>
      </c>
    </row>
    <row r="182" spans="2:19" ht="12.75">
      <c r="B182" s="200">
        <v>7</v>
      </c>
      <c r="C182" s="201" t="s">
        <v>473</v>
      </c>
      <c r="D182" s="202"/>
      <c r="E182" s="203"/>
      <c r="F182" s="204">
        <f>F34+F35</f>
        <v>65</v>
      </c>
      <c r="G182" s="396">
        <f>((total_beds_medium_HCFs_medium_cluster+total_beds_large_HCFs_medium_cluster)*F7/ratio_inf_to_noninf)*F14/1000</f>
        <v>2267.211538461538</v>
      </c>
      <c r="H182" s="204" t="s">
        <v>72</v>
      </c>
      <c r="I182" s="205">
        <f>F182*G182</f>
        <v>147368.74999999997</v>
      </c>
      <c r="J182" s="280"/>
      <c r="L182" s="200">
        <v>7</v>
      </c>
      <c r="M182" s="201" t="s">
        <v>473</v>
      </c>
      <c r="N182" s="202"/>
      <c r="O182" s="203"/>
      <c r="P182" s="204">
        <f>F34+F35</f>
        <v>65</v>
      </c>
      <c r="Q182" s="396">
        <f>((total_beds_medium_HCFs_large_cluster+total_beds_large_HCFs_large_cluster)*F7/ratio_inf_to_noninf)*F14/1000</f>
        <v>5727.692307692307</v>
      </c>
      <c r="R182" s="204" t="s">
        <v>72</v>
      </c>
      <c r="S182" s="205">
        <f>P182*Q182</f>
        <v>372299.99999999994</v>
      </c>
    </row>
    <row r="183" spans="2:19" ht="12.75">
      <c r="B183" s="200">
        <v>8</v>
      </c>
      <c r="C183" s="201" t="s">
        <v>474</v>
      </c>
      <c r="D183" s="202"/>
      <c r="E183" s="203"/>
      <c r="F183" s="204">
        <f>F33</f>
        <v>2.5</v>
      </c>
      <c r="G183" s="396">
        <f>G43*F14</f>
        <v>53346.15384615384</v>
      </c>
      <c r="H183" s="204" t="s">
        <v>74</v>
      </c>
      <c r="I183" s="205">
        <f>F183*G183</f>
        <v>133365.3846153846</v>
      </c>
      <c r="J183" s="280"/>
      <c r="L183" s="200">
        <v>8</v>
      </c>
      <c r="M183" s="201" t="s">
        <v>474</v>
      </c>
      <c r="N183" s="202"/>
      <c r="O183" s="203"/>
      <c r="P183" s="204">
        <f>F33</f>
        <v>2.5</v>
      </c>
      <c r="Q183" s="396">
        <f>Q43*F14</f>
        <v>134769.23076923078</v>
      </c>
      <c r="R183" s="204" t="s">
        <v>74</v>
      </c>
      <c r="S183" s="205">
        <f>P183*Q183</f>
        <v>336923.07692307694</v>
      </c>
    </row>
    <row r="184" spans="2:19" ht="12.75">
      <c r="B184" s="200">
        <v>9</v>
      </c>
      <c r="C184" s="201" t="s">
        <v>127</v>
      </c>
      <c r="D184" s="202"/>
      <c r="E184" s="203"/>
      <c r="F184" s="204">
        <f>F25</f>
        <v>20</v>
      </c>
      <c r="G184" s="394">
        <f>number_small_HCFs_medium_cluster*F20</f>
        <v>75</v>
      </c>
      <c r="H184" s="204"/>
      <c r="I184" s="205">
        <f>F184*G184</f>
        <v>1500</v>
      </c>
      <c r="J184" s="280"/>
      <c r="L184" s="200">
        <v>9</v>
      </c>
      <c r="M184" s="201" t="s">
        <v>127</v>
      </c>
      <c r="N184" s="202"/>
      <c r="O184" s="203"/>
      <c r="P184" s="204">
        <f>F25</f>
        <v>20</v>
      </c>
      <c r="Q184" s="394">
        <f>number_small_HCFs_large_cluster*F20</f>
        <v>150</v>
      </c>
      <c r="R184" s="204"/>
      <c r="S184" s="205">
        <f>P184*Q184</f>
        <v>3000</v>
      </c>
    </row>
    <row r="185" spans="2:19" ht="13.5" thickBot="1">
      <c r="B185" s="218">
        <v>10</v>
      </c>
      <c r="C185" s="207" t="s">
        <v>126</v>
      </c>
      <c r="D185" s="208"/>
      <c r="E185" s="209"/>
      <c r="F185" s="209">
        <f>F26</f>
        <v>40</v>
      </c>
      <c r="G185" s="395">
        <f>(total_beds_medium_HCFs_medium_cluster+total_beds_large_HCFs_medium_cluster)*F24</f>
        <v>380</v>
      </c>
      <c r="H185" s="210"/>
      <c r="I185" s="211">
        <f>F185*G185</f>
        <v>15200</v>
      </c>
      <c r="J185" s="280"/>
      <c r="L185" s="218">
        <v>10</v>
      </c>
      <c r="M185" s="207" t="s">
        <v>126</v>
      </c>
      <c r="N185" s="208"/>
      <c r="O185" s="209"/>
      <c r="P185" s="209">
        <f>F26</f>
        <v>40</v>
      </c>
      <c r="Q185" s="395">
        <f>(total_beds_medium_HCFs_large_cluster+total_beds_large_HCFs_large_cluster)*F24</f>
        <v>960</v>
      </c>
      <c r="R185" s="210"/>
      <c r="S185" s="211">
        <f>P185*Q185</f>
        <v>38400</v>
      </c>
    </row>
    <row r="186" spans="2:19" ht="15.75" thickTop="1">
      <c r="B186" s="30"/>
      <c r="C186" s="31" t="s">
        <v>56</v>
      </c>
      <c r="D186" s="31"/>
      <c r="E186" s="31"/>
      <c r="F186" s="31"/>
      <c r="G186" s="31"/>
      <c r="H186" s="31"/>
      <c r="I186" s="59">
        <f>SUM(I176:I185)</f>
        <v>543242.338328143</v>
      </c>
      <c r="J186" s="77"/>
      <c r="L186" s="30"/>
      <c r="M186" s="31" t="s">
        <v>40</v>
      </c>
      <c r="N186" s="31"/>
      <c r="O186" s="31"/>
      <c r="P186" s="31"/>
      <c r="Q186" s="31"/>
      <c r="R186" s="31"/>
      <c r="S186" s="59">
        <f>SUM(S176:S185)</f>
        <v>1350684.075428368</v>
      </c>
    </row>
    <row r="187" spans="2:19" ht="15">
      <c r="B187" s="30"/>
      <c r="C187" s="31" t="s">
        <v>57</v>
      </c>
      <c r="D187" s="31"/>
      <c r="E187" s="31"/>
      <c r="F187" s="31"/>
      <c r="G187" s="31"/>
      <c r="H187" s="31"/>
      <c r="I187" s="524">
        <f>I186*number_medium_clusters</f>
        <v>1086484.676656286</v>
      </c>
      <c r="J187" s="77"/>
      <c r="L187" s="30"/>
      <c r="M187" s="31" t="s">
        <v>41</v>
      </c>
      <c r="N187" s="31"/>
      <c r="O187" s="31"/>
      <c r="P187" s="31"/>
      <c r="Q187" s="31"/>
      <c r="R187" s="31"/>
      <c r="S187" s="59">
        <f>S186*number_large_clusters</f>
        <v>1350684.075428368</v>
      </c>
    </row>
    <row r="188" spans="2:19" ht="15">
      <c r="B188" s="268" t="s">
        <v>58</v>
      </c>
      <c r="C188" s="269"/>
      <c r="D188" s="270"/>
      <c r="E188" s="270"/>
      <c r="F188" s="270"/>
      <c r="G188" s="270"/>
      <c r="H188" s="270"/>
      <c r="I188" s="271"/>
      <c r="J188" s="272"/>
      <c r="K188" s="83"/>
      <c r="L188" s="268" t="s">
        <v>58</v>
      </c>
      <c r="M188" s="269"/>
      <c r="N188" s="270"/>
      <c r="O188" s="270"/>
      <c r="P188" s="270"/>
      <c r="Q188" s="270"/>
      <c r="R188" s="270"/>
      <c r="S188" s="271"/>
    </row>
    <row r="189" spans="2:19" ht="14.25">
      <c r="B189" s="273" t="s">
        <v>220</v>
      </c>
      <c r="C189" s="274" t="s">
        <v>258</v>
      </c>
      <c r="D189" s="275"/>
      <c r="E189" s="276"/>
      <c r="F189" s="277" t="s">
        <v>259</v>
      </c>
      <c r="G189" s="400" t="s">
        <v>260</v>
      </c>
      <c r="H189" s="400" t="s">
        <v>261</v>
      </c>
      <c r="I189" s="278" t="s">
        <v>262</v>
      </c>
      <c r="J189" s="279"/>
      <c r="L189" s="273" t="s">
        <v>220</v>
      </c>
      <c r="M189" s="274" t="s">
        <v>258</v>
      </c>
      <c r="N189" s="275"/>
      <c r="O189" s="276"/>
      <c r="P189" s="277" t="s">
        <v>259</v>
      </c>
      <c r="Q189" s="400" t="s">
        <v>260</v>
      </c>
      <c r="R189" s="400" t="s">
        <v>261</v>
      </c>
      <c r="S189" s="278" t="s">
        <v>262</v>
      </c>
    </row>
    <row r="190" spans="2:19" ht="12.75">
      <c r="B190" s="200">
        <v>1</v>
      </c>
      <c r="C190" s="201" t="s">
        <v>478</v>
      </c>
      <c r="D190" s="202"/>
      <c r="E190" s="203"/>
      <c r="F190" s="204">
        <f>cost_microwave_140kg_per_hr</f>
        <v>560000</v>
      </c>
      <c r="G190" s="394">
        <f>TRUNC(G40/140/F19/7)+1</f>
        <v>1</v>
      </c>
      <c r="H190" s="394">
        <f>life_microwave_140kg_per_hr</f>
        <v>10</v>
      </c>
      <c r="I190" s="205">
        <f>((F190*discount_rate)/(1-(1/(1+discount_rate)^H190)))*G190</f>
        <v>65649.08369888939</v>
      </c>
      <c r="J190" s="280"/>
      <c r="L190" s="200">
        <v>1</v>
      </c>
      <c r="M190" s="201" t="s">
        <v>479</v>
      </c>
      <c r="N190" s="202"/>
      <c r="O190" s="203"/>
      <c r="P190" s="204">
        <f>cost_microwave_330kg_per_hr</f>
        <v>670000</v>
      </c>
      <c r="Q190" s="394">
        <f>TRUNC(Q40/330/F19/7)+1</f>
        <v>2</v>
      </c>
      <c r="R190" s="394">
        <f>life_microwave_330kg_per_hr</f>
        <v>10</v>
      </c>
      <c r="S190" s="205">
        <f>((P190*discount_rate)/(1-(1/(1+discount_rate)^R190)))*Q190</f>
        <v>157088.8788509139</v>
      </c>
    </row>
    <row r="191" spans="2:19" ht="12.75">
      <c r="B191" s="200">
        <v>2</v>
      </c>
      <c r="C191" s="201" t="s">
        <v>398</v>
      </c>
      <c r="D191" s="202"/>
      <c r="E191" s="203"/>
      <c r="F191" s="204">
        <f>cost_incubator_kit</f>
        <v>200</v>
      </c>
      <c r="G191" s="394">
        <v>1</v>
      </c>
      <c r="H191" s="394">
        <f>life_incubator_kit</f>
        <v>5</v>
      </c>
      <c r="I191" s="205">
        <f>((F191*discount_rate)/(1-(1/(1+discount_rate)^H191)))*G191</f>
        <v>43.67091428011524</v>
      </c>
      <c r="J191" s="280"/>
      <c r="L191" s="200">
        <v>3</v>
      </c>
      <c r="M191" s="201" t="s">
        <v>398</v>
      </c>
      <c r="N191" s="202"/>
      <c r="O191" s="203"/>
      <c r="P191" s="204">
        <f>cost_incubator_kit</f>
        <v>200</v>
      </c>
      <c r="Q191" s="394">
        <v>1</v>
      </c>
      <c r="R191" s="394">
        <f>life_incubator_kit</f>
        <v>5</v>
      </c>
      <c r="S191" s="205">
        <f>((P191*discount_rate)/(1-(1/(1+discount_rate)^R191)))*Q191</f>
        <v>43.67091428011524</v>
      </c>
    </row>
    <row r="192" spans="2:19" ht="12.75">
      <c r="B192" s="200">
        <v>3</v>
      </c>
      <c r="C192" s="201" t="s">
        <v>42</v>
      </c>
      <c r="D192" s="202"/>
      <c r="E192" s="203"/>
      <c r="F192" s="204"/>
      <c r="G192" s="465">
        <v>0.05</v>
      </c>
      <c r="H192" s="465" t="s">
        <v>390</v>
      </c>
      <c r="I192" s="486">
        <f>G192*F190</f>
        <v>28000</v>
      </c>
      <c r="J192" s="280"/>
      <c r="L192" s="200">
        <v>4</v>
      </c>
      <c r="M192" s="201" t="s">
        <v>42</v>
      </c>
      <c r="N192" s="202"/>
      <c r="O192" s="203"/>
      <c r="P192" s="204"/>
      <c r="Q192" s="394">
        <v>0.05</v>
      </c>
      <c r="R192" s="394" t="s">
        <v>44</v>
      </c>
      <c r="S192" s="205">
        <f>P190*Q192</f>
        <v>33500</v>
      </c>
    </row>
    <row r="193" spans="2:19" ht="12.75">
      <c r="B193" s="468">
        <v>4</v>
      </c>
      <c r="C193" s="249" t="s">
        <v>64</v>
      </c>
      <c r="D193" s="111"/>
      <c r="E193" s="111"/>
      <c r="F193" s="204">
        <f>F29</f>
        <v>7000</v>
      </c>
      <c r="G193" s="394">
        <v>1</v>
      </c>
      <c r="H193" s="394">
        <v>10</v>
      </c>
      <c r="I193" s="205">
        <f>((F193*discount_rate)/(1-(1/(1+discount_rate)^H193)))*G193</f>
        <v>820.6135462361174</v>
      </c>
      <c r="J193" s="280"/>
      <c r="L193" s="200">
        <v>5</v>
      </c>
      <c r="M193" s="201" t="s">
        <v>64</v>
      </c>
      <c r="N193" s="202"/>
      <c r="O193" s="203"/>
      <c r="P193" s="204">
        <f>F30</f>
        <v>15000</v>
      </c>
      <c r="Q193" s="394">
        <v>1</v>
      </c>
      <c r="R193" s="394">
        <v>10</v>
      </c>
      <c r="S193" s="205">
        <f>((P193*discount_rate)/(1-(1/(1+discount_rate)^R193)))*Q193</f>
        <v>1758.4575990773942</v>
      </c>
    </row>
    <row r="194" spans="2:19" ht="15.75" thickBot="1">
      <c r="B194" s="218">
        <v>5</v>
      </c>
      <c r="C194" s="207" t="s">
        <v>63</v>
      </c>
      <c r="D194" s="208"/>
      <c r="E194" s="209"/>
      <c r="F194" s="209">
        <f>cost_transport_vehicle</f>
        <v>40000</v>
      </c>
      <c r="G194" s="395">
        <f>TRUNC(G42/5000)+1</f>
        <v>2</v>
      </c>
      <c r="H194" s="395">
        <f>life_transport_vehicle</f>
        <v>5</v>
      </c>
      <c r="I194" s="211">
        <f>((F194*discount_rate)/(1-(1/(1+discount_rate)^H194)))*G194</f>
        <v>17468.365712046096</v>
      </c>
      <c r="J194" s="77"/>
      <c r="L194" s="218">
        <v>6</v>
      </c>
      <c r="M194" s="207" t="s">
        <v>63</v>
      </c>
      <c r="N194" s="208"/>
      <c r="O194" s="209"/>
      <c r="P194" s="209">
        <f>cost_transport_vehicle</f>
        <v>40000</v>
      </c>
      <c r="Q194" s="395">
        <f>TRUNC(Q42/5000)+1</f>
        <v>4</v>
      </c>
      <c r="R194" s="395">
        <f>life_transport_vehicle</f>
        <v>5</v>
      </c>
      <c r="S194" s="211">
        <f>((P194*discount_rate)/(1-(1/(1+discount_rate)^R194)))*Q194</f>
        <v>34936.73142409219</v>
      </c>
    </row>
    <row r="195" spans="2:19" ht="15.75" thickTop="1">
      <c r="B195" s="30"/>
      <c r="C195" s="31" t="s">
        <v>66</v>
      </c>
      <c r="D195" s="31"/>
      <c r="E195" s="31"/>
      <c r="F195" s="31"/>
      <c r="G195" s="31"/>
      <c r="H195" s="31"/>
      <c r="I195" s="59">
        <f>SUM(I190:I194)</f>
        <v>111981.73387145171</v>
      </c>
      <c r="J195" s="77"/>
      <c r="L195" s="30"/>
      <c r="M195" s="31" t="s">
        <v>35</v>
      </c>
      <c r="N195" s="31"/>
      <c r="O195" s="31"/>
      <c r="P195" s="31"/>
      <c r="Q195" s="31"/>
      <c r="R195" s="31"/>
      <c r="S195" s="59">
        <f>SUM(S190:S194)</f>
        <v>227327.7387883636</v>
      </c>
    </row>
    <row r="196" spans="2:19" ht="15">
      <c r="B196" s="30"/>
      <c r="C196" s="31" t="s">
        <v>67</v>
      </c>
      <c r="D196" s="31"/>
      <c r="E196" s="31"/>
      <c r="F196" s="31"/>
      <c r="G196" s="31"/>
      <c r="H196" s="31"/>
      <c r="I196" s="59">
        <f>I195*number_medium_clusters</f>
        <v>223963.46774290342</v>
      </c>
      <c r="L196" s="30"/>
      <c r="M196" s="31" t="s">
        <v>36</v>
      </c>
      <c r="N196" s="31"/>
      <c r="O196" s="31"/>
      <c r="P196" s="31"/>
      <c r="Q196" s="31"/>
      <c r="R196" s="31"/>
      <c r="S196" s="59">
        <f>S195*number_large_clusters</f>
        <v>227327.7387883636</v>
      </c>
    </row>
    <row r="197" spans="2:19" ht="15">
      <c r="B197" s="268" t="s">
        <v>59</v>
      </c>
      <c r="C197" s="269"/>
      <c r="D197" s="270"/>
      <c r="E197" s="270"/>
      <c r="F197" s="270"/>
      <c r="G197" s="270"/>
      <c r="H197" s="270"/>
      <c r="I197" s="271"/>
      <c r="J197" s="272"/>
      <c r="K197" s="83"/>
      <c r="L197" s="268" t="s">
        <v>59</v>
      </c>
      <c r="M197" s="269"/>
      <c r="N197" s="270"/>
      <c r="O197" s="270"/>
      <c r="P197" s="270"/>
      <c r="Q197" s="270"/>
      <c r="R197" s="270"/>
      <c r="S197" s="271"/>
    </row>
    <row r="198" spans="2:19" ht="14.25">
      <c r="B198" s="273" t="s">
        <v>220</v>
      </c>
      <c r="C198" s="274" t="s">
        <v>258</v>
      </c>
      <c r="D198" s="275"/>
      <c r="E198" s="276"/>
      <c r="F198" s="277" t="s">
        <v>259</v>
      </c>
      <c r="G198" s="400" t="s">
        <v>260</v>
      </c>
      <c r="H198" s="277" t="s">
        <v>149</v>
      </c>
      <c r="I198" s="278" t="s">
        <v>262</v>
      </c>
      <c r="J198" s="279"/>
      <c r="L198" s="273" t="s">
        <v>220</v>
      </c>
      <c r="M198" s="274" t="s">
        <v>258</v>
      </c>
      <c r="N198" s="275"/>
      <c r="O198" s="276"/>
      <c r="P198" s="277" t="s">
        <v>259</v>
      </c>
      <c r="Q198" s="400" t="s">
        <v>260</v>
      </c>
      <c r="R198" s="277" t="s">
        <v>149</v>
      </c>
      <c r="S198" s="278" t="s">
        <v>262</v>
      </c>
    </row>
    <row r="199" spans="2:19" ht="12.75">
      <c r="B199" s="200">
        <v>1</v>
      </c>
      <c r="C199" s="201" t="s">
        <v>137</v>
      </c>
      <c r="D199" s="202"/>
      <c r="E199" s="203"/>
      <c r="F199" s="204">
        <f>F18</f>
        <v>20</v>
      </c>
      <c r="G199" s="394">
        <f>(F19*F31)+1</f>
        <v>3</v>
      </c>
      <c r="H199" s="204"/>
      <c r="I199" s="205">
        <f>F199*G199*F13</f>
        <v>15660</v>
      </c>
      <c r="J199" s="280"/>
      <c r="L199" s="200">
        <v>1</v>
      </c>
      <c r="M199" s="201" t="s">
        <v>137</v>
      </c>
      <c r="N199" s="202"/>
      <c r="O199" s="203"/>
      <c r="P199" s="204">
        <f>F18</f>
        <v>20</v>
      </c>
      <c r="Q199" s="394">
        <f>(F19*F31)+1</f>
        <v>3</v>
      </c>
      <c r="R199" s="204"/>
      <c r="S199" s="205">
        <f>P199*Q199*F13</f>
        <v>15660</v>
      </c>
    </row>
    <row r="200" spans="2:19" ht="12.75">
      <c r="B200" s="200">
        <v>2</v>
      </c>
      <c r="C200" s="201" t="s">
        <v>85</v>
      </c>
      <c r="D200" s="202"/>
      <c r="E200" s="203"/>
      <c r="F200" s="204">
        <f>F22</f>
        <v>40</v>
      </c>
      <c r="G200" s="394">
        <v>1</v>
      </c>
      <c r="H200" s="204" t="s">
        <v>141</v>
      </c>
      <c r="I200" s="205">
        <f>F200*G200*F13</f>
        <v>10440</v>
      </c>
      <c r="J200" s="280"/>
      <c r="L200" s="200">
        <v>2</v>
      </c>
      <c r="M200" s="201" t="s">
        <v>85</v>
      </c>
      <c r="N200" s="202"/>
      <c r="O200" s="203"/>
      <c r="P200" s="204">
        <f>F22</f>
        <v>40</v>
      </c>
      <c r="Q200" s="394">
        <v>1</v>
      </c>
      <c r="R200" s="204" t="s">
        <v>141</v>
      </c>
      <c r="S200" s="205">
        <f>P200*Q200*F13</f>
        <v>10440</v>
      </c>
    </row>
    <row r="201" spans="2:19" ht="12.75">
      <c r="B201" s="200">
        <v>3</v>
      </c>
      <c r="C201" s="201" t="s">
        <v>75</v>
      </c>
      <c r="D201" s="202"/>
      <c r="E201" s="203"/>
      <c r="F201" s="204">
        <f>F32</f>
        <v>23</v>
      </c>
      <c r="G201" s="394">
        <f>G194</f>
        <v>2</v>
      </c>
      <c r="H201" s="204"/>
      <c r="I201" s="205">
        <f>F201*G201*F13</f>
        <v>12006</v>
      </c>
      <c r="J201" s="280"/>
      <c r="L201" s="200">
        <v>3</v>
      </c>
      <c r="M201" s="201" t="s">
        <v>75</v>
      </c>
      <c r="N201" s="202"/>
      <c r="O201" s="203"/>
      <c r="P201" s="204">
        <f>F32</f>
        <v>23</v>
      </c>
      <c r="Q201" s="394">
        <f>Q194</f>
        <v>4</v>
      </c>
      <c r="R201" s="204"/>
      <c r="S201" s="205">
        <f>P201*Q201*F13</f>
        <v>24012</v>
      </c>
    </row>
    <row r="202" spans="2:19" ht="12.75">
      <c r="B202" s="200">
        <v>4</v>
      </c>
      <c r="C202" s="201" t="s">
        <v>277</v>
      </c>
      <c r="D202" s="202"/>
      <c r="E202" s="203"/>
      <c r="F202" s="204"/>
      <c r="G202" s="394">
        <f>maintenance_frax_cap_cost*100</f>
        <v>10</v>
      </c>
      <c r="H202" s="204" t="s">
        <v>279</v>
      </c>
      <c r="I202" s="205">
        <f>I195*maintenance_frax_cap_cost</f>
        <v>11198.173387145172</v>
      </c>
      <c r="J202" s="280"/>
      <c r="L202" s="200">
        <v>4</v>
      </c>
      <c r="M202" s="201" t="s">
        <v>277</v>
      </c>
      <c r="N202" s="202"/>
      <c r="O202" s="203"/>
      <c r="P202" s="204"/>
      <c r="Q202" s="394">
        <f>maintenance_frax_cap_cost*100</f>
        <v>10</v>
      </c>
      <c r="R202" s="204" t="s">
        <v>279</v>
      </c>
      <c r="S202" s="205">
        <f>S195*maintenance_frax_cap_cost</f>
        <v>22732.773878836364</v>
      </c>
    </row>
    <row r="203" spans="2:19" ht="12.75">
      <c r="B203" s="200">
        <v>5</v>
      </c>
      <c r="C203" s="201" t="s">
        <v>487</v>
      </c>
      <c r="D203" s="202"/>
      <c r="E203" s="203"/>
      <c r="F203" s="204">
        <f>F34+F35</f>
        <v>65</v>
      </c>
      <c r="G203" s="396">
        <f>(G41+G45+G176*weight_5L_plastic_sharps_container)/1000</f>
        <v>362.46015</v>
      </c>
      <c r="H203" s="204" t="s">
        <v>72</v>
      </c>
      <c r="I203" s="205">
        <f>F203*G203</f>
        <v>23559.90975</v>
      </c>
      <c r="J203" s="280"/>
      <c r="L203" s="200">
        <v>5</v>
      </c>
      <c r="M203" s="201" t="s">
        <v>487</v>
      </c>
      <c r="N203" s="202"/>
      <c r="O203" s="203"/>
      <c r="P203" s="204">
        <f>F34+F35</f>
        <v>65</v>
      </c>
      <c r="Q203" s="396">
        <f>(Q41+Q45+Q176*weight_5L_plastic_sharps_container)/1000</f>
        <v>912.1653</v>
      </c>
      <c r="R203" s="204" t="s">
        <v>72</v>
      </c>
      <c r="S203" s="205">
        <f>P203*Q203</f>
        <v>59290.7445</v>
      </c>
    </row>
    <row r="204" spans="2:19" ht="12.75">
      <c r="B204" s="200">
        <v>6</v>
      </c>
      <c r="C204" s="201" t="s">
        <v>270</v>
      </c>
      <c r="D204" s="202"/>
      <c r="E204" s="203"/>
      <c r="F204" s="204">
        <f>F23</f>
        <v>0.08</v>
      </c>
      <c r="G204" s="396">
        <f>kWh_per_kg_microwave*(G41+G45+G176*weight_5L_plastic_sharps_container)</f>
        <v>79741.23300000001</v>
      </c>
      <c r="H204" s="204" t="s">
        <v>482</v>
      </c>
      <c r="I204" s="205">
        <f>F204*G204</f>
        <v>6379.298640000001</v>
      </c>
      <c r="J204" s="280"/>
      <c r="L204" s="200">
        <v>6</v>
      </c>
      <c r="M204" s="201" t="s">
        <v>270</v>
      </c>
      <c r="N204" s="202"/>
      <c r="O204" s="203"/>
      <c r="P204" s="204">
        <f>F23</f>
        <v>0.08</v>
      </c>
      <c r="Q204" s="396">
        <f>kWh_per_kg_microwave*(Q41+Q45+Q176*weight_5L_plastic_sharps_container)</f>
        <v>200676.366</v>
      </c>
      <c r="R204" s="204" t="s">
        <v>135</v>
      </c>
      <c r="S204" s="205">
        <f>P204*Q204</f>
        <v>16054.10928</v>
      </c>
    </row>
    <row r="205" spans="2:19" ht="12.75">
      <c r="B205" s="251">
        <v>7</v>
      </c>
      <c r="C205" s="469" t="s">
        <v>400</v>
      </c>
      <c r="D205" s="470"/>
      <c r="E205" s="471"/>
      <c r="F205" s="471">
        <f>annual_cost_validation_testing</f>
        <v>45</v>
      </c>
      <c r="G205" s="472"/>
      <c r="H205" s="473" t="s">
        <v>155</v>
      </c>
      <c r="I205" s="474">
        <f>F205</f>
        <v>45</v>
      </c>
      <c r="J205" s="280"/>
      <c r="L205" s="251">
        <v>7</v>
      </c>
      <c r="M205" s="469" t="s">
        <v>400</v>
      </c>
      <c r="N205" s="470"/>
      <c r="O205" s="471"/>
      <c r="P205" s="471">
        <f>annual_cost_validation_testing</f>
        <v>45</v>
      </c>
      <c r="Q205" s="472"/>
      <c r="R205" s="473" t="s">
        <v>155</v>
      </c>
      <c r="S205" s="474">
        <f>P205</f>
        <v>45</v>
      </c>
    </row>
    <row r="206" spans="2:19" ht="13.5" thickBot="1">
      <c r="B206" s="218">
        <v>8</v>
      </c>
      <c r="C206" s="207" t="s">
        <v>80</v>
      </c>
      <c r="D206" s="208"/>
      <c r="E206" s="209"/>
      <c r="F206" s="209">
        <f>F25</f>
        <v>20</v>
      </c>
      <c r="G206" s="395">
        <f>(G199+G200)*F206*2</f>
        <v>160</v>
      </c>
      <c r="H206" s="210"/>
      <c r="I206" s="211">
        <f>F206*G206</f>
        <v>3200</v>
      </c>
      <c r="J206" s="280"/>
      <c r="L206" s="218">
        <v>8</v>
      </c>
      <c r="M206" s="207" t="s">
        <v>80</v>
      </c>
      <c r="N206" s="208"/>
      <c r="O206" s="209"/>
      <c r="P206" s="209">
        <f>F25</f>
        <v>20</v>
      </c>
      <c r="Q206" s="395">
        <f>(Q199+Q200)*P206*2</f>
        <v>160</v>
      </c>
      <c r="R206" s="210"/>
      <c r="S206" s="211">
        <f>P206*Q206</f>
        <v>3200</v>
      </c>
    </row>
    <row r="207" spans="2:19" ht="15.75" thickTop="1">
      <c r="B207" s="30"/>
      <c r="C207" s="31" t="s">
        <v>82</v>
      </c>
      <c r="D207" s="31"/>
      <c r="E207" s="31"/>
      <c r="F207" s="31"/>
      <c r="G207" s="31"/>
      <c r="H207" s="31"/>
      <c r="I207" s="59">
        <f>SUM(I199:I206)</f>
        <v>82488.38177714517</v>
      </c>
      <c r="J207" s="77"/>
      <c r="L207" s="30"/>
      <c r="M207" s="31" t="s">
        <v>38</v>
      </c>
      <c r="N207" s="31"/>
      <c r="O207" s="31"/>
      <c r="P207" s="31"/>
      <c r="Q207" s="31"/>
      <c r="R207" s="31"/>
      <c r="S207" s="59">
        <f>SUM(S199:S206)</f>
        <v>151434.62765883637</v>
      </c>
    </row>
    <row r="208" spans="2:19" ht="15.75" thickBot="1">
      <c r="B208" s="33"/>
      <c r="C208" s="34" t="s">
        <v>83</v>
      </c>
      <c r="D208" s="34"/>
      <c r="E208" s="34"/>
      <c r="F208" s="34"/>
      <c r="G208" s="34"/>
      <c r="H208" s="34"/>
      <c r="I208" s="63">
        <f>I207*number_medium_clusters</f>
        <v>164976.76355429034</v>
      </c>
      <c r="J208" s="77"/>
      <c r="L208" s="33"/>
      <c r="M208" s="34" t="s">
        <v>39</v>
      </c>
      <c r="N208" s="34"/>
      <c r="O208" s="34"/>
      <c r="P208" s="34"/>
      <c r="Q208" s="34"/>
      <c r="R208" s="34"/>
      <c r="S208" s="63">
        <f>S207*number_large_clusters</f>
        <v>151434.62765883637</v>
      </c>
    </row>
    <row r="209" ht="13.5" thickBot="1"/>
    <row r="210" spans="1:19" ht="13.5" thickBot="1">
      <c r="A210" s="520"/>
      <c r="B210" s="520"/>
      <c r="C210" s="520"/>
      <c r="D210" s="520"/>
      <c r="E210" s="520"/>
      <c r="F210" s="520"/>
      <c r="G210" s="520"/>
      <c r="H210" s="520"/>
      <c r="I210" s="520"/>
      <c r="J210" s="522"/>
      <c r="K210" s="520"/>
      <c r="L210" s="520"/>
      <c r="M210" s="520"/>
      <c r="N210" s="520"/>
      <c r="O210" s="520"/>
      <c r="P210" s="520"/>
      <c r="Q210" s="520"/>
      <c r="R210" s="520"/>
      <c r="S210" s="520"/>
    </row>
    <row r="211" spans="2:19" ht="15.75" thickBot="1">
      <c r="B211" s="141" t="s">
        <v>110</v>
      </c>
      <c r="C211" s="84"/>
      <c r="D211" s="84"/>
      <c r="E211" s="84"/>
      <c r="F211" s="84"/>
      <c r="G211" s="84"/>
      <c r="H211" s="84"/>
      <c r="I211" s="85"/>
      <c r="J211" s="76"/>
      <c r="K211" s="83"/>
      <c r="L211" s="142" t="s">
        <v>86</v>
      </c>
      <c r="M211" s="86"/>
      <c r="N211" s="87"/>
      <c r="O211" s="87"/>
      <c r="P211" s="87"/>
      <c r="Q211" s="87"/>
      <c r="R211" s="87"/>
      <c r="S211" s="88"/>
    </row>
    <row r="212" spans="2:19" ht="15" thickBot="1">
      <c r="B212" s="264"/>
      <c r="C212" s="27"/>
      <c r="D212" s="249"/>
      <c r="E212" s="249"/>
      <c r="F212" s="249"/>
      <c r="G212" s="249"/>
      <c r="H212" s="249"/>
      <c r="I212" s="265"/>
      <c r="K212" s="219"/>
      <c r="L212" s="266"/>
      <c r="M212" s="75"/>
      <c r="N212" s="249"/>
      <c r="O212" s="249"/>
      <c r="P212" s="249"/>
      <c r="Q212" s="249"/>
      <c r="R212" s="249"/>
      <c r="S212" s="265"/>
    </row>
    <row r="213" spans="2:19" ht="15.75" thickBot="1">
      <c r="B213" s="143" t="s">
        <v>483</v>
      </c>
      <c r="C213" s="107"/>
      <c r="D213" s="143"/>
      <c r="E213" s="107"/>
      <c r="F213" s="89"/>
      <c r="G213" s="89"/>
      <c r="H213" s="89"/>
      <c r="I213" s="90"/>
      <c r="J213" s="76"/>
      <c r="K213" s="83"/>
      <c r="L213" s="267" t="s">
        <v>483</v>
      </c>
      <c r="M213" s="108"/>
      <c r="N213" s="267"/>
      <c r="O213" s="109"/>
      <c r="P213" s="91"/>
      <c r="Q213" s="89"/>
      <c r="R213" s="89"/>
      <c r="S213" s="90"/>
    </row>
    <row r="214" spans="2:19" ht="12.75">
      <c r="B214" s="110"/>
      <c r="C214" s="111"/>
      <c r="D214" s="111"/>
      <c r="E214" s="111"/>
      <c r="F214" s="111"/>
      <c r="G214" s="111"/>
      <c r="H214" s="111"/>
      <c r="I214" s="112"/>
      <c r="L214" s="110"/>
      <c r="M214" s="111"/>
      <c r="N214" s="111"/>
      <c r="O214" s="111"/>
      <c r="P214" s="111"/>
      <c r="Q214" s="111"/>
      <c r="R214" s="111"/>
      <c r="S214" s="112"/>
    </row>
    <row r="215" spans="2:19" ht="15">
      <c r="B215" s="268" t="s">
        <v>116</v>
      </c>
      <c r="C215" s="269"/>
      <c r="D215" s="270"/>
      <c r="E215" s="270"/>
      <c r="F215" s="270"/>
      <c r="G215" s="270"/>
      <c r="H215" s="270"/>
      <c r="I215" s="271"/>
      <c r="J215" s="272"/>
      <c r="K215" s="83"/>
      <c r="L215" s="268" t="s">
        <v>116</v>
      </c>
      <c r="M215" s="269"/>
      <c r="N215" s="270"/>
      <c r="O215" s="270"/>
      <c r="P215" s="270"/>
      <c r="Q215" s="270"/>
      <c r="R215" s="270"/>
      <c r="S215" s="271"/>
    </row>
    <row r="216" spans="2:19" ht="14.25">
      <c r="B216" s="273" t="s">
        <v>220</v>
      </c>
      <c r="C216" s="274" t="s">
        <v>258</v>
      </c>
      <c r="D216" s="275"/>
      <c r="E216" s="276"/>
      <c r="F216" s="277" t="s">
        <v>259</v>
      </c>
      <c r="G216" s="400" t="s">
        <v>260</v>
      </c>
      <c r="H216" s="400" t="s">
        <v>261</v>
      </c>
      <c r="I216" s="278" t="s">
        <v>262</v>
      </c>
      <c r="J216" s="279"/>
      <c r="L216" s="273" t="s">
        <v>220</v>
      </c>
      <c r="M216" s="274" t="s">
        <v>258</v>
      </c>
      <c r="N216" s="275"/>
      <c r="O216" s="276"/>
      <c r="P216" s="277" t="s">
        <v>259</v>
      </c>
      <c r="Q216" s="400" t="s">
        <v>260</v>
      </c>
      <c r="R216" s="400" t="s">
        <v>261</v>
      </c>
      <c r="S216" s="278" t="s">
        <v>262</v>
      </c>
    </row>
    <row r="217" spans="2:19" ht="12.75">
      <c r="B217" s="200">
        <v>1</v>
      </c>
      <c r="C217" s="201" t="s">
        <v>263</v>
      </c>
      <c r="D217" s="202"/>
      <c r="E217" s="203"/>
      <c r="F217" s="204">
        <f>cost_15L_bin</f>
        <v>5</v>
      </c>
      <c r="G217" s="394">
        <f>F15*number_small_HCFs_medium_cluster</f>
        <v>100</v>
      </c>
      <c r="H217" s="394">
        <f>life_50L_bin</f>
        <v>2</v>
      </c>
      <c r="I217" s="205">
        <f aca="true" t="shared" si="6" ref="I217:I222">((F217*discount_rate)/(1-(1/(1+discount_rate)^H217)))*G217</f>
        <v>261.3054187192118</v>
      </c>
      <c r="J217" s="280"/>
      <c r="L217" s="200">
        <v>1</v>
      </c>
      <c r="M217" s="201" t="s">
        <v>263</v>
      </c>
      <c r="N217" s="202"/>
      <c r="O217" s="203"/>
      <c r="P217" s="204">
        <f>cost_15L_bin</f>
        <v>5</v>
      </c>
      <c r="Q217" s="394">
        <f>F15*number_small_HCFs_large_cluster</f>
        <v>200</v>
      </c>
      <c r="R217" s="394">
        <f>life_50L_bin</f>
        <v>2</v>
      </c>
      <c r="S217" s="205">
        <f aca="true" t="shared" si="7" ref="S217:S222">((P217*discount_rate)/(1-(1/(1+discount_rate)^R217)))*Q217</f>
        <v>522.6108374384236</v>
      </c>
    </row>
    <row r="218" spans="2:19" ht="12.75">
      <c r="B218" s="200">
        <v>2</v>
      </c>
      <c r="C218" s="201" t="s">
        <v>195</v>
      </c>
      <c r="D218" s="202"/>
      <c r="E218" s="203"/>
      <c r="F218" s="204">
        <f>cost_50L_bin</f>
        <v>20</v>
      </c>
      <c r="G218" s="394">
        <f>TRUNC((total_beds_medium_HCFs_medium_cluster+total_beds_large_HCFs_medium_cluster)*F7/F9/50)+TRUNC((total_beds_medium_HCFs_medium_cluster+total_beds_large_HCFs_medium_cluster)*F7/F9/ratio_inf_to_noninf/50)+2</f>
        <v>956</v>
      </c>
      <c r="H218" s="394">
        <f>life_50L_bin</f>
        <v>2</v>
      </c>
      <c r="I218" s="205">
        <f t="shared" si="6"/>
        <v>9992.319211822658</v>
      </c>
      <c r="J218" s="280"/>
      <c r="L218" s="200">
        <v>2</v>
      </c>
      <c r="M218" s="201" t="s">
        <v>195</v>
      </c>
      <c r="N218" s="202"/>
      <c r="O218" s="203"/>
      <c r="P218" s="204">
        <f>cost_50L_bin</f>
        <v>20</v>
      </c>
      <c r="Q218" s="394">
        <f>TRUNC((total_beds_medium_HCFs_large_cluster+total_beds_large_HCFs_large_cluster)*F7/F9/50)+TRUNC((total_beds_medium_HCFs_large_cluster+total_beds_large_HCFs_large_cluster)*F7/F9/ratio_inf_to_noninf/50)+2</f>
        <v>2414</v>
      </c>
      <c r="R218" s="394">
        <f>life_50L_bin</f>
        <v>2</v>
      </c>
      <c r="S218" s="205">
        <f t="shared" si="7"/>
        <v>25231.65123152709</v>
      </c>
    </row>
    <row r="219" spans="2:19" ht="12.75">
      <c r="B219" s="200">
        <v>3</v>
      </c>
      <c r="C219" s="201" t="s">
        <v>264</v>
      </c>
      <c r="D219" s="202"/>
      <c r="E219" s="203"/>
      <c r="F219" s="204">
        <f>cost_PPE</f>
        <v>35</v>
      </c>
      <c r="G219" s="394">
        <f>number_small_HCFs_medium_cluster+number_medium_HCFs_medium_cluster+ROUND(total_beds_large_HCFs_medium_cluster*F21,0)</f>
        <v>50</v>
      </c>
      <c r="H219" s="394">
        <f>life_PPE</f>
        <v>2</v>
      </c>
      <c r="I219" s="205">
        <f t="shared" si="6"/>
        <v>914.5689655172413</v>
      </c>
      <c r="J219" s="280"/>
      <c r="L219" s="200">
        <v>3</v>
      </c>
      <c r="M219" s="201" t="s">
        <v>264</v>
      </c>
      <c r="N219" s="202"/>
      <c r="O219" s="203"/>
      <c r="P219" s="204">
        <f>cost_PPE</f>
        <v>35</v>
      </c>
      <c r="Q219" s="394">
        <f>number_small_HCFs_large_cluster+number_medium_HCFs_large_cluster+ROUND(total_beds_large_HCFs_large_cluster*F21,0)</f>
        <v>110</v>
      </c>
      <c r="R219" s="394">
        <f>life_PPE</f>
        <v>2</v>
      </c>
      <c r="S219" s="205">
        <f t="shared" si="7"/>
        <v>2012.051724137931</v>
      </c>
    </row>
    <row r="220" spans="2:19" ht="12.75">
      <c r="B220" s="200">
        <v>4</v>
      </c>
      <c r="C220" s="201" t="s">
        <v>197</v>
      </c>
      <c r="D220" s="202"/>
      <c r="E220" s="203"/>
      <c r="F220" s="204">
        <f>cost_240L_wheeled_bin</f>
        <v>45</v>
      </c>
      <c r="G220" s="396">
        <f>number_medium_HCFs_medium_cluster+ROUND(total_beds_large_HCFs_medium_cluster*F21,0)</f>
        <v>25</v>
      </c>
      <c r="H220" s="394">
        <f>life_240L_wheeled_bin</f>
        <v>4</v>
      </c>
      <c r="I220" s="205">
        <f t="shared" si="6"/>
        <v>302.655425842218</v>
      </c>
      <c r="J220" s="280"/>
      <c r="L220" s="200">
        <v>4</v>
      </c>
      <c r="M220" s="201" t="s">
        <v>197</v>
      </c>
      <c r="N220" s="202"/>
      <c r="O220" s="203"/>
      <c r="P220" s="204">
        <f>cost_240L_wheeled_bin</f>
        <v>45</v>
      </c>
      <c r="Q220" s="396">
        <f>number_medium_HCFs_large_cluster+ROUND(total_beds_large_HCFs_large_cluster*F21,0)</f>
        <v>60</v>
      </c>
      <c r="R220" s="394">
        <f>life_240L_wheeled_bin</f>
        <v>4</v>
      </c>
      <c r="S220" s="205">
        <f t="shared" si="7"/>
        <v>726.3730220213232</v>
      </c>
    </row>
    <row r="221" spans="2:19" ht="12.75">
      <c r="B221" s="200">
        <v>5</v>
      </c>
      <c r="C221" s="201" t="s">
        <v>114</v>
      </c>
      <c r="D221" s="202"/>
      <c r="E221" s="203"/>
      <c r="F221" s="204">
        <f>cost_storage_area</f>
        <v>1000</v>
      </c>
      <c r="G221" s="394">
        <f>number_medium_HCFs_medium_cluster</f>
        <v>10</v>
      </c>
      <c r="H221" s="394">
        <f>life_large_storage_area</f>
        <v>10</v>
      </c>
      <c r="I221" s="205">
        <f t="shared" si="6"/>
        <v>1172.3050660515962</v>
      </c>
      <c r="J221" s="280"/>
      <c r="L221" s="200">
        <v>5</v>
      </c>
      <c r="M221" s="201" t="s">
        <v>114</v>
      </c>
      <c r="N221" s="202"/>
      <c r="O221" s="203"/>
      <c r="P221" s="204">
        <f>cost_storage_area</f>
        <v>1000</v>
      </c>
      <c r="Q221" s="394">
        <f>number_medium_HCFs_large_cluster</f>
        <v>20</v>
      </c>
      <c r="R221" s="394">
        <f>life_large_storage_area</f>
        <v>10</v>
      </c>
      <c r="S221" s="205">
        <f t="shared" si="7"/>
        <v>2344.6101321031924</v>
      </c>
    </row>
    <row r="222" spans="2:19" ht="12.75">
      <c r="B222" s="200">
        <v>6</v>
      </c>
      <c r="C222" s="201" t="s">
        <v>115</v>
      </c>
      <c r="D222" s="202"/>
      <c r="E222" s="203"/>
      <c r="F222" s="204">
        <f>cost_large_storage_area</f>
        <v>2000</v>
      </c>
      <c r="G222" s="394">
        <f>number_large_HCFs_medium_cluster</f>
        <v>3</v>
      </c>
      <c r="H222" s="394">
        <f>life_large_storage_area</f>
        <v>10</v>
      </c>
      <c r="I222" s="205">
        <f t="shared" si="6"/>
        <v>703.3830396309577</v>
      </c>
      <c r="J222" s="280"/>
      <c r="L222" s="200">
        <v>6</v>
      </c>
      <c r="M222" s="201" t="s">
        <v>115</v>
      </c>
      <c r="N222" s="202"/>
      <c r="O222" s="203"/>
      <c r="P222" s="204">
        <f>cost_large_storage_area</f>
        <v>2000</v>
      </c>
      <c r="Q222" s="394">
        <f>number_large_HCFs_large_cluster</f>
        <v>8</v>
      </c>
      <c r="R222" s="394">
        <f>life_large_storage_area</f>
        <v>10</v>
      </c>
      <c r="S222" s="205">
        <f t="shared" si="7"/>
        <v>1875.688105682554</v>
      </c>
    </row>
    <row r="223" spans="2:19" ht="15">
      <c r="B223" s="30"/>
      <c r="C223" s="31" t="s">
        <v>117</v>
      </c>
      <c r="D223" s="31"/>
      <c r="E223" s="31"/>
      <c r="F223" s="31"/>
      <c r="G223" s="31"/>
      <c r="H223" s="31"/>
      <c r="I223" s="59">
        <f>SUM(I217:I222)</f>
        <v>13346.537127583884</v>
      </c>
      <c r="J223" s="77"/>
      <c r="L223" s="30"/>
      <c r="M223" s="31" t="s">
        <v>91</v>
      </c>
      <c r="N223" s="31"/>
      <c r="O223" s="31"/>
      <c r="P223" s="31"/>
      <c r="Q223" s="31"/>
      <c r="R223" s="31"/>
      <c r="S223" s="59">
        <f>SUM(S217:S222)</f>
        <v>32712.985052910513</v>
      </c>
    </row>
    <row r="224" spans="2:19" ht="15">
      <c r="B224" s="30"/>
      <c r="C224" s="31" t="s">
        <v>118</v>
      </c>
      <c r="D224" s="31"/>
      <c r="E224" s="31"/>
      <c r="F224" s="31"/>
      <c r="G224" s="31"/>
      <c r="H224" s="31"/>
      <c r="I224" s="59">
        <f>I223*number_medium_clusters</f>
        <v>26693.07425516777</v>
      </c>
      <c r="J224" s="77"/>
      <c r="L224" s="30"/>
      <c r="M224" s="31" t="s">
        <v>92</v>
      </c>
      <c r="N224" s="31"/>
      <c r="O224" s="31"/>
      <c r="P224" s="31"/>
      <c r="Q224" s="31"/>
      <c r="R224" s="31"/>
      <c r="S224" s="59">
        <f>S223*number_large_clusters</f>
        <v>32712.985052910513</v>
      </c>
    </row>
    <row r="225" spans="2:19" ht="15.75" thickBot="1">
      <c r="B225" s="475" t="s">
        <v>119</v>
      </c>
      <c r="C225" s="476"/>
      <c r="D225" s="477"/>
      <c r="E225" s="477"/>
      <c r="F225" s="477"/>
      <c r="G225" s="477"/>
      <c r="H225" s="477"/>
      <c r="I225" s="478"/>
      <c r="J225" s="272"/>
      <c r="K225" s="83"/>
      <c r="L225" s="268" t="s">
        <v>119</v>
      </c>
      <c r="M225" s="269"/>
      <c r="N225" s="270"/>
      <c r="O225" s="270"/>
      <c r="P225" s="270"/>
      <c r="Q225" s="270"/>
      <c r="R225" s="270"/>
      <c r="S225" s="271"/>
    </row>
    <row r="226" spans="2:19" ht="14.25">
      <c r="B226" s="479" t="s">
        <v>220</v>
      </c>
      <c r="C226" s="480" t="s">
        <v>258</v>
      </c>
      <c r="D226" s="481"/>
      <c r="E226" s="482"/>
      <c r="F226" s="483" t="s">
        <v>259</v>
      </c>
      <c r="G226" s="484" t="s">
        <v>260</v>
      </c>
      <c r="H226" s="483" t="s">
        <v>149</v>
      </c>
      <c r="I226" s="485" t="s">
        <v>262</v>
      </c>
      <c r="J226" s="279"/>
      <c r="L226" s="273" t="s">
        <v>220</v>
      </c>
      <c r="M226" s="274" t="s">
        <v>258</v>
      </c>
      <c r="N226" s="275"/>
      <c r="O226" s="276"/>
      <c r="P226" s="277" t="s">
        <v>259</v>
      </c>
      <c r="Q226" s="400" t="s">
        <v>260</v>
      </c>
      <c r="R226" s="277" t="s">
        <v>149</v>
      </c>
      <c r="S226" s="278" t="s">
        <v>262</v>
      </c>
    </row>
    <row r="227" spans="2:19" ht="12.75">
      <c r="B227" s="200">
        <v>1</v>
      </c>
      <c r="C227" s="201" t="s">
        <v>393</v>
      </c>
      <c r="D227" s="202"/>
      <c r="E227" s="203"/>
      <c r="F227" s="204">
        <f>cost_5L_plastic_sharps_container</f>
        <v>3.5</v>
      </c>
      <c r="G227" s="396">
        <f>(number_small_HCFs_medium_cluster*F11*F12+(total_beds_medium_HCFs_medium_cluster+total_beds_large_HCFs_medium_cluster)*F10*F14)/weight_syringe/capacity_safety_box</f>
        <v>7065.5</v>
      </c>
      <c r="H227" s="204" t="s">
        <v>84</v>
      </c>
      <c r="I227" s="205">
        <f>F227*G227</f>
        <v>24729.25</v>
      </c>
      <c r="J227" s="280"/>
      <c r="L227" s="200">
        <v>1</v>
      </c>
      <c r="M227" s="201" t="s">
        <v>393</v>
      </c>
      <c r="N227" s="202"/>
      <c r="O227" s="203"/>
      <c r="P227" s="204">
        <f>cost_5L_plastic_sharps_container</f>
        <v>3.5</v>
      </c>
      <c r="Q227" s="396">
        <f>(number_small_HCFs_large_cluster*F11*F12+(total_beds_medium_HCFs_large_cluster+total_beds_large_HCFs_large_cluster)*F10*F14)/weight_syringe/capacity_safety_box</f>
        <v>17781</v>
      </c>
      <c r="R227" s="204" t="s">
        <v>84</v>
      </c>
      <c r="S227" s="205">
        <f>P227*Q227</f>
        <v>62233.5</v>
      </c>
    </row>
    <row r="228" spans="2:19" ht="12.75">
      <c r="B228" s="200">
        <v>2</v>
      </c>
      <c r="C228" s="201" t="s">
        <v>251</v>
      </c>
      <c r="D228" s="202"/>
      <c r="E228" s="203"/>
      <c r="F228" s="204">
        <f>cost_15L_plastic_bag</f>
        <v>0.06</v>
      </c>
      <c r="G228" s="394">
        <f>F16*number_small_HCFs_medium_cluster*F12</f>
        <v>6525</v>
      </c>
      <c r="H228" s="204"/>
      <c r="I228" s="205">
        <f>F228*G228</f>
        <v>391.5</v>
      </c>
      <c r="J228" s="280"/>
      <c r="L228" s="200">
        <v>2</v>
      </c>
      <c r="M228" s="201" t="s">
        <v>251</v>
      </c>
      <c r="N228" s="202"/>
      <c r="O228" s="203"/>
      <c r="P228" s="204">
        <f>cost_15L_plastic_bag</f>
        <v>0.06</v>
      </c>
      <c r="Q228" s="396">
        <f>F16*number_small_HCFs_large_cluster*F12</f>
        <v>13050</v>
      </c>
      <c r="R228" s="204"/>
      <c r="S228" s="205">
        <f>P228*Q228</f>
        <v>783</v>
      </c>
    </row>
    <row r="229" spans="2:19" ht="12.75">
      <c r="B229" s="200">
        <v>3</v>
      </c>
      <c r="C229" s="201" t="s">
        <v>226</v>
      </c>
      <c r="D229" s="202"/>
      <c r="E229" s="203"/>
      <c r="F229" s="204">
        <f>cost_50L_plastic_bag</f>
        <v>0.12</v>
      </c>
      <c r="G229" s="394">
        <f>(TRUNC((total_beds_medium_HCFs_medium_cluster+total_beds_large_HCFs_medium_cluster)*F7/F9/50)+TRUNC((total_beds_medium_HCFs_medium_cluster+total_beds_large_HCFs_medium_cluster)*F7/F9/ratio_inf_to_noninf/50)+2)*F14</f>
        <v>348940</v>
      </c>
      <c r="H229" s="204"/>
      <c r="I229" s="205">
        <f>F229*G229</f>
        <v>41872.799999999996</v>
      </c>
      <c r="J229" s="280"/>
      <c r="L229" s="200">
        <v>3</v>
      </c>
      <c r="M229" s="201" t="s">
        <v>226</v>
      </c>
      <c r="N229" s="202"/>
      <c r="O229" s="203"/>
      <c r="P229" s="204">
        <f>cost_50L_plastic_bag</f>
        <v>0.12</v>
      </c>
      <c r="Q229" s="394">
        <f>(TRUNC((total_beds_medium_HCFs_large_cluster+total_beds_large_HCFs_large_cluster)*F7/F9/50)+TRUNC((total_beds_medium_HCFs_large_cluster+total_beds_large_HCFs_large_cluster)*F7/F9/ratio_inf_to_noninf/50)+2)*F14</f>
        <v>881110</v>
      </c>
      <c r="R229" s="204"/>
      <c r="S229" s="205">
        <f>P229*Q229</f>
        <v>105733.2</v>
      </c>
    </row>
    <row r="230" spans="2:19" ht="12.75">
      <c r="B230" s="200">
        <v>4</v>
      </c>
      <c r="C230" s="201" t="s">
        <v>137</v>
      </c>
      <c r="D230" s="202"/>
      <c r="E230" s="203"/>
      <c r="F230" s="204">
        <f>F18</f>
        <v>20</v>
      </c>
      <c r="G230" s="394">
        <f>number_FTE_HCW_medium_cluster</f>
        <v>23</v>
      </c>
      <c r="H230" s="204"/>
      <c r="I230" s="205">
        <f>F230*G230*F13</f>
        <v>120060</v>
      </c>
      <c r="J230" s="280"/>
      <c r="L230" s="200">
        <v>4</v>
      </c>
      <c r="M230" s="201" t="s">
        <v>137</v>
      </c>
      <c r="N230" s="202"/>
      <c r="O230" s="203"/>
      <c r="P230" s="204">
        <f>F18</f>
        <v>20</v>
      </c>
      <c r="Q230" s="394">
        <f>number_FTE_HCW_large_cluster</f>
        <v>56</v>
      </c>
      <c r="R230" s="204"/>
      <c r="S230" s="205">
        <f>P230*Q230*F13</f>
        <v>292320</v>
      </c>
    </row>
    <row r="231" spans="2:19" ht="12.75">
      <c r="B231" s="200">
        <v>5</v>
      </c>
      <c r="C231" s="201" t="s">
        <v>139</v>
      </c>
      <c r="D231" s="202"/>
      <c r="E231" s="203"/>
      <c r="F231" s="204">
        <f>F22</f>
        <v>40</v>
      </c>
      <c r="G231" s="396">
        <f>number_medium_HCFs_medium_cluster*0.25+number_large_HCFs_medium_cluster</f>
        <v>5.5</v>
      </c>
      <c r="H231" s="204" t="s">
        <v>141</v>
      </c>
      <c r="I231" s="205">
        <f>F231*G231*F13</f>
        <v>57420</v>
      </c>
      <c r="J231" s="280"/>
      <c r="L231" s="200">
        <v>5</v>
      </c>
      <c r="M231" s="201" t="s">
        <v>139</v>
      </c>
      <c r="N231" s="202"/>
      <c r="O231" s="203"/>
      <c r="P231" s="204">
        <f>F22</f>
        <v>40</v>
      </c>
      <c r="Q231" s="394">
        <f>number_medium_HCFs_large_cluster*0.25+number_large_HCFs_large_cluster</f>
        <v>13</v>
      </c>
      <c r="R231" s="204" t="s">
        <v>141</v>
      </c>
      <c r="S231" s="205">
        <f>P231*Q231*F13</f>
        <v>135720</v>
      </c>
    </row>
    <row r="232" spans="2:19" ht="12.75">
      <c r="B232" s="200">
        <v>6</v>
      </c>
      <c r="C232" s="201" t="s">
        <v>277</v>
      </c>
      <c r="D232" s="202"/>
      <c r="E232" s="203"/>
      <c r="F232" s="204"/>
      <c r="G232" s="394">
        <f>maintenance_frax_cap_cost*100</f>
        <v>10</v>
      </c>
      <c r="H232" s="204" t="s">
        <v>279</v>
      </c>
      <c r="I232" s="205">
        <f>I223*maintenance_frax_cap_cost</f>
        <v>1334.6537127583886</v>
      </c>
      <c r="J232" s="280"/>
      <c r="L232" s="200">
        <v>6</v>
      </c>
      <c r="M232" s="201" t="s">
        <v>277</v>
      </c>
      <c r="N232" s="202"/>
      <c r="O232" s="203"/>
      <c r="P232" s="204"/>
      <c r="Q232" s="396">
        <f>maintenance_frax_cap_cost*100</f>
        <v>10</v>
      </c>
      <c r="R232" s="204" t="s">
        <v>279</v>
      </c>
      <c r="S232" s="205">
        <f>S223*maintenance_frax_cap_cost</f>
        <v>3271.2985052910517</v>
      </c>
    </row>
    <row r="233" spans="2:19" ht="12.75">
      <c r="B233" s="200">
        <v>7</v>
      </c>
      <c r="C233" s="201" t="s">
        <v>473</v>
      </c>
      <c r="D233" s="202"/>
      <c r="E233" s="203"/>
      <c r="F233" s="204">
        <f>F34+F35</f>
        <v>65</v>
      </c>
      <c r="G233" s="396">
        <f>((total_beds_medium_HCFs_medium_cluster+total_beds_large_HCFs_medium_cluster)*F7/ratio_inf_to_noninf)*F14/1000</f>
        <v>2267.211538461538</v>
      </c>
      <c r="H233" s="204" t="s">
        <v>72</v>
      </c>
      <c r="I233" s="205">
        <f>F233*G233</f>
        <v>147368.74999999997</v>
      </c>
      <c r="J233" s="280"/>
      <c r="L233" s="200">
        <v>7</v>
      </c>
      <c r="M233" s="201" t="s">
        <v>473</v>
      </c>
      <c r="N233" s="202"/>
      <c r="O233" s="203"/>
      <c r="P233" s="204">
        <f>F34+F35</f>
        <v>65</v>
      </c>
      <c r="Q233" s="396">
        <f>((total_beds_medium_HCFs_large_cluster+total_beds_large_HCFs_large_cluster)*F7/ratio_inf_to_noninf)*F14/1000</f>
        <v>5727.692307692307</v>
      </c>
      <c r="R233" s="204" t="s">
        <v>72</v>
      </c>
      <c r="S233" s="205">
        <f>P233*Q233</f>
        <v>372299.99999999994</v>
      </c>
    </row>
    <row r="234" spans="2:19" ht="12.75">
      <c r="B234" s="200">
        <v>8</v>
      </c>
      <c r="C234" s="201" t="s">
        <v>474</v>
      </c>
      <c r="D234" s="202"/>
      <c r="E234" s="203"/>
      <c r="F234" s="204">
        <f>F33</f>
        <v>2.5</v>
      </c>
      <c r="G234" s="396">
        <f>G43*F14</f>
        <v>53346.15384615384</v>
      </c>
      <c r="H234" s="204" t="s">
        <v>74</v>
      </c>
      <c r="I234" s="205">
        <f>F234*G234</f>
        <v>133365.3846153846</v>
      </c>
      <c r="J234" s="280"/>
      <c r="L234" s="200">
        <v>8</v>
      </c>
      <c r="M234" s="201" t="s">
        <v>474</v>
      </c>
      <c r="N234" s="202"/>
      <c r="O234" s="203"/>
      <c r="P234" s="204">
        <f>F33</f>
        <v>2.5</v>
      </c>
      <c r="Q234" s="396">
        <f>Q43*F14</f>
        <v>134769.23076923078</v>
      </c>
      <c r="R234" s="204" t="s">
        <v>74</v>
      </c>
      <c r="S234" s="205">
        <f>P234*Q234</f>
        <v>336923.07692307694</v>
      </c>
    </row>
    <row r="235" spans="2:19" ht="12.75">
      <c r="B235" s="200">
        <v>9</v>
      </c>
      <c r="C235" s="201" t="s">
        <v>127</v>
      </c>
      <c r="D235" s="202"/>
      <c r="E235" s="203"/>
      <c r="F235" s="204">
        <f>F25</f>
        <v>20</v>
      </c>
      <c r="G235" s="394">
        <f>number_small_HCFs_medium_cluster*F20</f>
        <v>75</v>
      </c>
      <c r="H235" s="204"/>
      <c r="I235" s="205">
        <f>F235*G235</f>
        <v>1500</v>
      </c>
      <c r="J235" s="280"/>
      <c r="L235" s="200">
        <v>9</v>
      </c>
      <c r="M235" s="201" t="s">
        <v>127</v>
      </c>
      <c r="N235" s="202"/>
      <c r="O235" s="203"/>
      <c r="P235" s="204">
        <f>F25</f>
        <v>20</v>
      </c>
      <c r="Q235" s="394">
        <f>number_small_HCFs_large_cluster*F20</f>
        <v>150</v>
      </c>
      <c r="R235" s="204"/>
      <c r="S235" s="205">
        <f>P235*Q235</f>
        <v>3000</v>
      </c>
    </row>
    <row r="236" spans="2:19" ht="13.5" thickBot="1">
      <c r="B236" s="218">
        <v>10</v>
      </c>
      <c r="C236" s="207" t="s">
        <v>126</v>
      </c>
      <c r="D236" s="208"/>
      <c r="E236" s="209"/>
      <c r="F236" s="209">
        <f>F26</f>
        <v>40</v>
      </c>
      <c r="G236" s="395">
        <f>(total_beds_medium_HCFs_medium_cluster+total_beds_large_HCFs_medium_cluster)*F24</f>
        <v>380</v>
      </c>
      <c r="H236" s="210"/>
      <c r="I236" s="211">
        <f>F236*G236</f>
        <v>15200</v>
      </c>
      <c r="J236" s="280"/>
      <c r="L236" s="218">
        <v>10</v>
      </c>
      <c r="M236" s="207" t="s">
        <v>126</v>
      </c>
      <c r="N236" s="208"/>
      <c r="O236" s="209"/>
      <c r="P236" s="209">
        <f>F26</f>
        <v>40</v>
      </c>
      <c r="Q236" s="395">
        <f>(total_beds_medium_HCFs_large_cluster+total_beds_large_HCFs_large_cluster)*F24</f>
        <v>960</v>
      </c>
      <c r="R236" s="210"/>
      <c r="S236" s="211">
        <f>P236*Q236</f>
        <v>38400</v>
      </c>
    </row>
    <row r="237" spans="2:19" ht="15.75" thickTop="1">
      <c r="B237" s="30"/>
      <c r="C237" s="31" t="s">
        <v>56</v>
      </c>
      <c r="D237" s="31"/>
      <c r="E237" s="31"/>
      <c r="F237" s="31"/>
      <c r="G237" s="31"/>
      <c r="H237" s="31"/>
      <c r="I237" s="59">
        <f>SUM(I227:I236)</f>
        <v>543242.338328143</v>
      </c>
      <c r="J237" s="77"/>
      <c r="L237" s="30"/>
      <c r="M237" s="31" t="s">
        <v>40</v>
      </c>
      <c r="N237" s="31"/>
      <c r="O237" s="31"/>
      <c r="P237" s="31"/>
      <c r="Q237" s="31"/>
      <c r="R237" s="31"/>
      <c r="S237" s="59">
        <f>SUM(S227:S236)</f>
        <v>1350684.075428368</v>
      </c>
    </row>
    <row r="238" spans="2:19" ht="15">
      <c r="B238" s="30"/>
      <c r="C238" s="31" t="s">
        <v>57</v>
      </c>
      <c r="D238" s="31"/>
      <c r="E238" s="31"/>
      <c r="F238" s="31"/>
      <c r="G238" s="31"/>
      <c r="H238" s="31"/>
      <c r="I238" s="524">
        <f>I237*number_medium_clusters</f>
        <v>1086484.676656286</v>
      </c>
      <c r="J238" s="77"/>
      <c r="L238" s="30"/>
      <c r="M238" s="31" t="s">
        <v>41</v>
      </c>
      <c r="N238" s="31"/>
      <c r="O238" s="31"/>
      <c r="P238" s="31"/>
      <c r="Q238" s="31"/>
      <c r="R238" s="31"/>
      <c r="S238" s="59">
        <f>S237*number_large_clusters</f>
        <v>1350684.075428368</v>
      </c>
    </row>
    <row r="239" spans="2:19" ht="15">
      <c r="B239" s="268" t="s">
        <v>58</v>
      </c>
      <c r="C239" s="269"/>
      <c r="D239" s="270"/>
      <c r="E239" s="270"/>
      <c r="F239" s="270"/>
      <c r="G239" s="270"/>
      <c r="H239" s="270"/>
      <c r="I239" s="271"/>
      <c r="J239" s="272"/>
      <c r="K239" s="83"/>
      <c r="L239" s="268" t="s">
        <v>58</v>
      </c>
      <c r="M239" s="269"/>
      <c r="N239" s="270"/>
      <c r="O239" s="270"/>
      <c r="P239" s="270"/>
      <c r="Q239" s="270"/>
      <c r="R239" s="270"/>
      <c r="S239" s="271"/>
    </row>
    <row r="240" spans="2:19" ht="14.25">
      <c r="B240" s="273" t="s">
        <v>220</v>
      </c>
      <c r="C240" s="274" t="s">
        <v>258</v>
      </c>
      <c r="D240" s="275"/>
      <c r="E240" s="276"/>
      <c r="F240" s="277" t="s">
        <v>259</v>
      </c>
      <c r="G240" s="400" t="s">
        <v>260</v>
      </c>
      <c r="H240" s="400" t="s">
        <v>261</v>
      </c>
      <c r="I240" s="278" t="s">
        <v>262</v>
      </c>
      <c r="J240" s="279"/>
      <c r="L240" s="273" t="s">
        <v>220</v>
      </c>
      <c r="M240" s="274" t="s">
        <v>258</v>
      </c>
      <c r="N240" s="275"/>
      <c r="O240" s="276"/>
      <c r="P240" s="277" t="s">
        <v>259</v>
      </c>
      <c r="Q240" s="400" t="s">
        <v>260</v>
      </c>
      <c r="R240" s="400" t="s">
        <v>261</v>
      </c>
      <c r="S240" s="278" t="s">
        <v>262</v>
      </c>
    </row>
    <row r="241" spans="2:19" ht="12.75">
      <c r="B241" s="200">
        <v>1</v>
      </c>
      <c r="C241" s="201" t="s">
        <v>485</v>
      </c>
      <c r="D241" s="202"/>
      <c r="E241" s="203"/>
      <c r="F241" s="203">
        <f>cost_advanced_steam_1000liters_per_cycle</f>
        <v>407000</v>
      </c>
      <c r="G241" s="394">
        <f>TRUNC(G42/1000/F19/7)+1</f>
        <v>1</v>
      </c>
      <c r="H241" s="394">
        <f>life_advanced_steam_1000liters_per_cycle</f>
        <v>10</v>
      </c>
      <c r="I241" s="458">
        <f>((F241*discount_rate)/(1-(1/(1+discount_rate)^H241)))*G241</f>
        <v>47712.81618829996</v>
      </c>
      <c r="J241" s="280"/>
      <c r="L241" s="200">
        <v>1</v>
      </c>
      <c r="M241" s="201" t="s">
        <v>486</v>
      </c>
      <c r="N241" s="202"/>
      <c r="O241" s="203"/>
      <c r="P241" s="203">
        <f>cost_advanced_steam_2000liters_per_cycle</f>
        <v>566000</v>
      </c>
      <c r="Q241" s="394">
        <f>TRUNC(Q42/1000/F19/7)+1</f>
        <v>3</v>
      </c>
      <c r="R241" s="394">
        <f>life_advanced_steam_2000liters_per_cycle</f>
        <v>10</v>
      </c>
      <c r="S241" s="458">
        <f>((P241*discount_rate)/(1-(1/(1+discount_rate)^R241)))*Q241</f>
        <v>199057.40021556104</v>
      </c>
    </row>
    <row r="242" spans="2:19" ht="12.75">
      <c r="B242" s="200">
        <v>2</v>
      </c>
      <c r="C242" s="201" t="s">
        <v>398</v>
      </c>
      <c r="D242" s="202"/>
      <c r="E242" s="203"/>
      <c r="F242" s="204">
        <f>cost_incubator_kit</f>
        <v>200</v>
      </c>
      <c r="G242" s="394">
        <v>1</v>
      </c>
      <c r="H242" s="394">
        <f>life_incubator_kit</f>
        <v>5</v>
      </c>
      <c r="I242" s="205">
        <f>((F242*discount_rate)/(1-(1/(1+discount_rate)^H242)))*G242</f>
        <v>43.67091428011524</v>
      </c>
      <c r="J242" s="280"/>
      <c r="L242" s="200">
        <v>2</v>
      </c>
      <c r="M242" s="201" t="s">
        <v>398</v>
      </c>
      <c r="N242" s="202"/>
      <c r="O242" s="203"/>
      <c r="P242" s="204">
        <f>cost_incubator_kit</f>
        <v>200</v>
      </c>
      <c r="Q242" s="394">
        <v>1</v>
      </c>
      <c r="R242" s="394">
        <f>life_incubator_kit</f>
        <v>5</v>
      </c>
      <c r="S242" s="205">
        <f>((P242*discount_rate)/(1-(1/(1+discount_rate)^R242)))*Q242</f>
        <v>43.67091428011524</v>
      </c>
    </row>
    <row r="243" spans="2:19" ht="12.75">
      <c r="B243" s="468">
        <v>3</v>
      </c>
      <c r="C243" s="249" t="s">
        <v>64</v>
      </c>
      <c r="D243" s="111"/>
      <c r="E243" s="111"/>
      <c r="F243" s="204">
        <f>F29</f>
        <v>7000</v>
      </c>
      <c r="G243" s="394">
        <v>1</v>
      </c>
      <c r="H243" s="394">
        <v>10</v>
      </c>
      <c r="I243" s="205">
        <f>((F243*discount_rate)/(1-(1/(1+discount_rate)^H243)))*G243</f>
        <v>820.6135462361174</v>
      </c>
      <c r="J243" s="280"/>
      <c r="L243" s="200">
        <v>3</v>
      </c>
      <c r="M243" s="201" t="s">
        <v>64</v>
      </c>
      <c r="N243" s="202"/>
      <c r="O243" s="203"/>
      <c r="P243" s="204">
        <f>F30</f>
        <v>15000</v>
      </c>
      <c r="Q243" s="394">
        <v>1</v>
      </c>
      <c r="R243" s="394">
        <v>10</v>
      </c>
      <c r="S243" s="205">
        <f>((P243*discount_rate)/(1-(1/(1+discount_rate)^R243)))*Q243</f>
        <v>1758.4575990773942</v>
      </c>
    </row>
    <row r="244" spans="2:19" ht="15.75" thickBot="1">
      <c r="B244" s="218">
        <v>4</v>
      </c>
      <c r="C244" s="207" t="s">
        <v>63</v>
      </c>
      <c r="D244" s="208"/>
      <c r="E244" s="209"/>
      <c r="F244" s="209">
        <f>cost_transport_vehicle</f>
        <v>40000</v>
      </c>
      <c r="G244" s="395">
        <f>TRUNC(G42/5000)+1</f>
        <v>2</v>
      </c>
      <c r="H244" s="395">
        <f>life_transport_vehicle</f>
        <v>5</v>
      </c>
      <c r="I244" s="211">
        <f>((F244*discount_rate)/(1-(1/(1+discount_rate)^H244)))*G244</f>
        <v>17468.365712046096</v>
      </c>
      <c r="J244" s="77"/>
      <c r="L244" s="218">
        <v>4</v>
      </c>
      <c r="M244" s="207" t="s">
        <v>63</v>
      </c>
      <c r="N244" s="208"/>
      <c r="O244" s="209"/>
      <c r="P244" s="209">
        <f>cost_transport_vehicle</f>
        <v>40000</v>
      </c>
      <c r="Q244" s="395">
        <f>TRUNC(Q42/5000)+1</f>
        <v>4</v>
      </c>
      <c r="R244" s="395">
        <f>life_transport_vehicle</f>
        <v>5</v>
      </c>
      <c r="S244" s="211">
        <f>((P244*discount_rate)/(1-(1/(1+discount_rate)^R244)))*Q244</f>
        <v>34936.73142409219</v>
      </c>
    </row>
    <row r="245" spans="2:19" ht="15.75" thickTop="1">
      <c r="B245" s="30"/>
      <c r="C245" s="31" t="s">
        <v>66</v>
      </c>
      <c r="D245" s="31"/>
      <c r="E245" s="31"/>
      <c r="F245" s="31"/>
      <c r="G245" s="31"/>
      <c r="H245" s="31"/>
      <c r="I245" s="59">
        <f>SUM(I241:I244)</f>
        <v>66045.4663608623</v>
      </c>
      <c r="J245" s="77"/>
      <c r="L245" s="30"/>
      <c r="M245" s="31" t="s">
        <v>35</v>
      </c>
      <c r="N245" s="31"/>
      <c r="O245" s="31"/>
      <c r="P245" s="31"/>
      <c r="Q245" s="31"/>
      <c r="R245" s="31"/>
      <c r="S245" s="59">
        <f>SUM(S241:S244)</f>
        <v>235796.26015301075</v>
      </c>
    </row>
    <row r="246" spans="2:19" ht="15">
      <c r="B246" s="30"/>
      <c r="C246" s="31" t="s">
        <v>67</v>
      </c>
      <c r="D246" s="31"/>
      <c r="E246" s="31"/>
      <c r="F246" s="31"/>
      <c r="G246" s="31"/>
      <c r="H246" s="31"/>
      <c r="I246" s="59">
        <f>I245*number_medium_clusters</f>
        <v>132090.9327217246</v>
      </c>
      <c r="L246" s="30"/>
      <c r="M246" s="31" t="s">
        <v>36</v>
      </c>
      <c r="N246" s="31"/>
      <c r="O246" s="31"/>
      <c r="P246" s="31"/>
      <c r="Q246" s="31"/>
      <c r="R246" s="31"/>
      <c r="S246" s="59">
        <f>S245*number_large_clusters</f>
        <v>235796.26015301075</v>
      </c>
    </row>
    <row r="247" spans="2:19" ht="15">
      <c r="B247" s="268" t="s">
        <v>59</v>
      </c>
      <c r="C247" s="269"/>
      <c r="D247" s="270"/>
      <c r="E247" s="270"/>
      <c r="F247" s="270"/>
      <c r="G247" s="270"/>
      <c r="H247" s="270"/>
      <c r="I247" s="271"/>
      <c r="J247" s="272"/>
      <c r="K247" s="83"/>
      <c r="L247" s="268" t="s">
        <v>59</v>
      </c>
      <c r="M247" s="269"/>
      <c r="N247" s="270"/>
      <c r="O247" s="270"/>
      <c r="P247" s="270"/>
      <c r="Q247" s="270"/>
      <c r="R247" s="270"/>
      <c r="S247" s="271"/>
    </row>
    <row r="248" spans="2:19" ht="14.25">
      <c r="B248" s="273" t="s">
        <v>220</v>
      </c>
      <c r="C248" s="274" t="s">
        <v>258</v>
      </c>
      <c r="D248" s="275"/>
      <c r="E248" s="276"/>
      <c r="F248" s="277" t="s">
        <v>259</v>
      </c>
      <c r="G248" s="400" t="s">
        <v>260</v>
      </c>
      <c r="H248" s="277" t="s">
        <v>149</v>
      </c>
      <c r="I248" s="278" t="s">
        <v>262</v>
      </c>
      <c r="J248" s="279"/>
      <c r="L248" s="273" t="s">
        <v>220</v>
      </c>
      <c r="M248" s="274" t="s">
        <v>258</v>
      </c>
      <c r="N248" s="275"/>
      <c r="O248" s="276"/>
      <c r="P248" s="277" t="s">
        <v>259</v>
      </c>
      <c r="Q248" s="400" t="s">
        <v>260</v>
      </c>
      <c r="R248" s="277" t="s">
        <v>149</v>
      </c>
      <c r="S248" s="278" t="s">
        <v>262</v>
      </c>
    </row>
    <row r="249" spans="2:19" ht="12.75">
      <c r="B249" s="200">
        <v>1</v>
      </c>
      <c r="C249" s="201" t="s">
        <v>137</v>
      </c>
      <c r="D249" s="202"/>
      <c r="E249" s="203"/>
      <c r="F249" s="204">
        <f>F18</f>
        <v>20</v>
      </c>
      <c r="G249" s="394">
        <f>(F19*F31)+1</f>
        <v>3</v>
      </c>
      <c r="H249" s="204"/>
      <c r="I249" s="205">
        <f>F249*G249*F13</f>
        <v>15660</v>
      </c>
      <c r="J249" s="280"/>
      <c r="L249" s="200">
        <v>1</v>
      </c>
      <c r="M249" s="201" t="s">
        <v>137</v>
      </c>
      <c r="N249" s="202"/>
      <c r="O249" s="203"/>
      <c r="P249" s="204">
        <f>F18</f>
        <v>20</v>
      </c>
      <c r="Q249" s="394">
        <f>(F19*F31)+1</f>
        <v>3</v>
      </c>
      <c r="R249" s="204"/>
      <c r="S249" s="205">
        <v>1364</v>
      </c>
    </row>
    <row r="250" spans="2:19" ht="12.75">
      <c r="B250" s="200">
        <v>2</v>
      </c>
      <c r="C250" s="201" t="s">
        <v>85</v>
      </c>
      <c r="D250" s="202"/>
      <c r="E250" s="203"/>
      <c r="F250" s="204">
        <f>F22</f>
        <v>40</v>
      </c>
      <c r="G250" s="394">
        <v>1</v>
      </c>
      <c r="H250" s="204" t="s">
        <v>141</v>
      </c>
      <c r="I250" s="205">
        <f>F250*G250*F13</f>
        <v>10440</v>
      </c>
      <c r="J250" s="280"/>
      <c r="L250" s="200">
        <v>2</v>
      </c>
      <c r="M250" s="201" t="s">
        <v>85</v>
      </c>
      <c r="N250" s="202"/>
      <c r="O250" s="203"/>
      <c r="P250" s="204">
        <f>F22</f>
        <v>40</v>
      </c>
      <c r="Q250" s="394">
        <v>1</v>
      </c>
      <c r="R250" s="204" t="s">
        <v>141</v>
      </c>
      <c r="S250" s="205">
        <f>P250*Q250*F13</f>
        <v>10440</v>
      </c>
    </row>
    <row r="251" spans="2:19" ht="12.75">
      <c r="B251" s="200">
        <v>3</v>
      </c>
      <c r="C251" s="201" t="s">
        <v>75</v>
      </c>
      <c r="D251" s="202"/>
      <c r="E251" s="203"/>
      <c r="F251" s="204">
        <f>F32</f>
        <v>23</v>
      </c>
      <c r="G251" s="394">
        <f>G244</f>
        <v>2</v>
      </c>
      <c r="H251" s="204"/>
      <c r="I251" s="205">
        <f>F251*G251*F13</f>
        <v>12006</v>
      </c>
      <c r="J251" s="280"/>
      <c r="L251" s="200">
        <v>3</v>
      </c>
      <c r="M251" s="201" t="s">
        <v>75</v>
      </c>
      <c r="N251" s="202"/>
      <c r="O251" s="203"/>
      <c r="P251" s="204">
        <f>F32</f>
        <v>23</v>
      </c>
      <c r="Q251" s="394">
        <f>Q244</f>
        <v>4</v>
      </c>
      <c r="R251" s="204"/>
      <c r="S251" s="205">
        <f>P251*Q251*F13</f>
        <v>24012</v>
      </c>
    </row>
    <row r="252" spans="2:19" ht="12.75">
      <c r="B252" s="200">
        <v>4</v>
      </c>
      <c r="C252" s="201" t="s">
        <v>277</v>
      </c>
      <c r="D252" s="202"/>
      <c r="E252" s="203"/>
      <c r="F252" s="204"/>
      <c r="G252" s="394">
        <f>maintenance_frax_cap_cost*100</f>
        <v>10</v>
      </c>
      <c r="H252" s="204" t="s">
        <v>279</v>
      </c>
      <c r="I252" s="205">
        <f>I245*maintenance_frax_cap_cost</f>
        <v>6604.54663608623</v>
      </c>
      <c r="J252" s="280"/>
      <c r="L252" s="200">
        <v>4</v>
      </c>
      <c r="M252" s="201" t="s">
        <v>277</v>
      </c>
      <c r="N252" s="202"/>
      <c r="O252" s="203"/>
      <c r="P252" s="204"/>
      <c r="Q252" s="394">
        <f>maintenance_frax_cap_cost*100</f>
        <v>10</v>
      </c>
      <c r="R252" s="204" t="s">
        <v>279</v>
      </c>
      <c r="S252" s="205">
        <f>S245*maintenance_frax_cap_cost</f>
        <v>23579.626015301077</v>
      </c>
    </row>
    <row r="253" spans="2:19" ht="12.75">
      <c r="B253" s="200">
        <v>5</v>
      </c>
      <c r="C253" s="201" t="s">
        <v>487</v>
      </c>
      <c r="D253" s="202"/>
      <c r="E253" s="203"/>
      <c r="F253" s="204">
        <f>F34+F35</f>
        <v>65</v>
      </c>
      <c r="G253" s="396">
        <f>(G41+G45+G227*weight_5L_plastic_sharps_container)/1000</f>
        <v>362.46015</v>
      </c>
      <c r="H253" s="204" t="s">
        <v>72</v>
      </c>
      <c r="I253" s="205">
        <f>F253*G253</f>
        <v>23559.90975</v>
      </c>
      <c r="J253" s="280"/>
      <c r="L253" s="200">
        <v>5</v>
      </c>
      <c r="M253" s="201" t="s">
        <v>487</v>
      </c>
      <c r="N253" s="202"/>
      <c r="O253" s="203"/>
      <c r="P253" s="204">
        <f>F34+F35</f>
        <v>65</v>
      </c>
      <c r="Q253" s="396">
        <f>(Q41+Q45+Q227*weight_5L_plastic_sharps_container)/1000</f>
        <v>912.1653</v>
      </c>
      <c r="R253" s="204" t="s">
        <v>72</v>
      </c>
      <c r="S253" s="205">
        <f>P253*Q253</f>
        <v>59290.7445</v>
      </c>
    </row>
    <row r="254" spans="2:19" ht="12.75">
      <c r="B254" s="200">
        <v>6</v>
      </c>
      <c r="C254" s="201" t="s">
        <v>270</v>
      </c>
      <c r="D254" s="202"/>
      <c r="E254" s="203"/>
      <c r="F254" s="204">
        <f>F23</f>
        <v>0.08</v>
      </c>
      <c r="G254" s="396">
        <f>kWh_per_kg_microwave*(G41+G45+G227*weight_5L_plastic_sharps_container)</f>
        <v>79741.23300000001</v>
      </c>
      <c r="H254" s="204" t="s">
        <v>482</v>
      </c>
      <c r="I254" s="205">
        <f>F254*G254</f>
        <v>6379.298640000001</v>
      </c>
      <c r="J254" s="280"/>
      <c r="L254" s="200">
        <v>6</v>
      </c>
      <c r="M254" s="201" t="s">
        <v>270</v>
      </c>
      <c r="N254" s="202"/>
      <c r="O254" s="203"/>
      <c r="P254" s="204">
        <f>F23</f>
        <v>0.08</v>
      </c>
      <c r="Q254" s="396">
        <f>kWh_per_kg_microwave*(Q41+Q45+Q227*weight_5L_plastic_sharps_container)</f>
        <v>200676.366</v>
      </c>
      <c r="R254" s="204" t="s">
        <v>135</v>
      </c>
      <c r="S254" s="205">
        <f>P254*Q254</f>
        <v>16054.10928</v>
      </c>
    </row>
    <row r="255" spans="2:19" ht="12.75">
      <c r="B255" s="251">
        <v>7</v>
      </c>
      <c r="C255" s="469" t="s">
        <v>400</v>
      </c>
      <c r="D255" s="470"/>
      <c r="E255" s="471"/>
      <c r="F255" s="471">
        <f>annual_cost_validation_testing</f>
        <v>45</v>
      </c>
      <c r="G255" s="472"/>
      <c r="H255" s="473" t="s">
        <v>155</v>
      </c>
      <c r="I255" s="474">
        <f>F255</f>
        <v>45</v>
      </c>
      <c r="J255" s="280"/>
      <c r="L255" s="251">
        <v>7</v>
      </c>
      <c r="M255" s="469" t="s">
        <v>400</v>
      </c>
      <c r="N255" s="470"/>
      <c r="O255" s="471"/>
      <c r="P255" s="471">
        <f>annual_cost_validation_testing</f>
        <v>45</v>
      </c>
      <c r="Q255" s="472"/>
      <c r="R255" s="473" t="s">
        <v>155</v>
      </c>
      <c r="S255" s="474">
        <f>P255</f>
        <v>45</v>
      </c>
    </row>
    <row r="256" spans="2:19" ht="13.5" thickBot="1">
      <c r="B256" s="218">
        <v>8</v>
      </c>
      <c r="C256" s="207" t="s">
        <v>80</v>
      </c>
      <c r="D256" s="208"/>
      <c r="E256" s="209"/>
      <c r="F256" s="209">
        <f>F25</f>
        <v>20</v>
      </c>
      <c r="G256" s="395">
        <f>(G249+G250)*F256*2</f>
        <v>160</v>
      </c>
      <c r="H256" s="210"/>
      <c r="I256" s="211">
        <f>F256*G256</f>
        <v>3200</v>
      </c>
      <c r="J256" s="280"/>
      <c r="L256" s="218">
        <v>8</v>
      </c>
      <c r="M256" s="207" t="s">
        <v>80</v>
      </c>
      <c r="N256" s="208"/>
      <c r="O256" s="209"/>
      <c r="P256" s="209">
        <f>F25</f>
        <v>20</v>
      </c>
      <c r="Q256" s="395">
        <f>(Q249+Q250)*P256*2</f>
        <v>160</v>
      </c>
      <c r="R256" s="210"/>
      <c r="S256" s="211">
        <f>P256*Q256</f>
        <v>3200</v>
      </c>
    </row>
    <row r="257" spans="2:19" ht="15.75" thickTop="1">
      <c r="B257" s="30"/>
      <c r="C257" s="31" t="s">
        <v>82</v>
      </c>
      <c r="D257" s="31"/>
      <c r="E257" s="31"/>
      <c r="F257" s="31"/>
      <c r="G257" s="31"/>
      <c r="H257" s="31"/>
      <c r="I257" s="59">
        <f>SUM(I249:I256)</f>
        <v>77894.75502608623</v>
      </c>
      <c r="J257" s="77"/>
      <c r="L257" s="30"/>
      <c r="M257" s="31" t="s">
        <v>38</v>
      </c>
      <c r="N257" s="31"/>
      <c r="O257" s="31"/>
      <c r="P257" s="31"/>
      <c r="Q257" s="31"/>
      <c r="R257" s="31"/>
      <c r="S257" s="59">
        <f>SUM(S249:S256)</f>
        <v>137985.47979530107</v>
      </c>
    </row>
    <row r="258" spans="2:19" ht="15.75" thickBot="1">
      <c r="B258" s="33"/>
      <c r="C258" s="34" t="s">
        <v>83</v>
      </c>
      <c r="D258" s="34"/>
      <c r="E258" s="34"/>
      <c r="F258" s="34"/>
      <c r="G258" s="34"/>
      <c r="H258" s="34"/>
      <c r="I258" s="63">
        <f>I257*number_medium_clusters</f>
        <v>155789.51005217247</v>
      </c>
      <c r="J258" s="77"/>
      <c r="L258" s="33"/>
      <c r="M258" s="34" t="s">
        <v>39</v>
      </c>
      <c r="N258" s="34"/>
      <c r="O258" s="34"/>
      <c r="P258" s="34"/>
      <c r="Q258" s="34"/>
      <c r="R258" s="34"/>
      <c r="S258" s="63">
        <f>S257*number_large_clusters</f>
        <v>137985.47979530107</v>
      </c>
    </row>
  </sheetData>
  <printOptions/>
  <pageMargins left="0.5" right="0.5" top="1.075" bottom="0.5" header="0.5" footer="0.5"/>
  <pageSetup orientation="portrait" paperSize="9" scale="95" r:id="rId1"/>
  <rowBreaks count="4" manualBreakCount="4">
    <brk id="48" max="18" man="1"/>
    <brk id="144" max="18" man="1"/>
    <brk id="196" max="18" man="1"/>
    <brk id="246" max="18" man="1"/>
  </rowBreaks>
  <ignoredErrors>
    <ignoredError sqref="P255 S255 P205 S205 S82 S139 S192 F255 I255 F205 I205 I192 I139 I82" formula="1"/>
  </ignoredErrors>
</worksheet>
</file>

<file path=xl/worksheets/sheet9.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140625" defaultRowHeight="12.75"/>
  <cols>
    <col min="1" max="1" width="2.140625" style="80" customWidth="1"/>
    <col min="2" max="4" width="8.8515625" style="80" customWidth="1"/>
    <col min="5" max="5" width="10.28125" style="80" customWidth="1"/>
    <col min="6" max="6" width="17.28125" style="80" customWidth="1"/>
    <col min="7" max="7" width="14.28125" style="80" bestFit="1" customWidth="1"/>
    <col min="8" max="8" width="12.00390625" style="80" customWidth="1"/>
    <col min="9" max="9" width="13.28125" style="171" customWidth="1"/>
    <col min="10" max="16384" width="8.8515625" style="80" customWidth="1"/>
  </cols>
  <sheetData>
    <row r="1" s="78" customFormat="1" ht="13.5" thickBot="1">
      <c r="I1" s="170"/>
    </row>
    <row r="2" spans="1:9" s="97" customFormat="1" ht="18.75" thickBot="1">
      <c r="A2" s="96" t="s">
        <v>153</v>
      </c>
      <c r="I2" s="104"/>
    </row>
    <row r="3" ht="13.5" thickBot="1"/>
    <row r="4" spans="1:9" s="99" customFormat="1" ht="17.25" thickBot="1">
      <c r="A4" s="98" t="s">
        <v>218</v>
      </c>
      <c r="I4" s="105"/>
    </row>
    <row r="5" s="101" customFormat="1" ht="17.25" thickBot="1">
      <c r="I5" s="106"/>
    </row>
    <row r="6" spans="1:10" ht="15.75">
      <c r="A6" s="284"/>
      <c r="B6" s="172" t="s">
        <v>258</v>
      </c>
      <c r="C6" s="54"/>
      <c r="D6" s="55"/>
      <c r="E6" s="173" t="s">
        <v>213</v>
      </c>
      <c r="F6" s="173" t="s">
        <v>214</v>
      </c>
      <c r="G6" s="174" t="s">
        <v>157</v>
      </c>
      <c r="J6" s="1"/>
    </row>
    <row r="7" spans="2:10" ht="15.75">
      <c r="B7" s="216" t="s">
        <v>156</v>
      </c>
      <c r="C7" s="202"/>
      <c r="D7" s="203"/>
      <c r="E7" s="379">
        <v>10000</v>
      </c>
      <c r="F7" s="220" t="s">
        <v>243</v>
      </c>
      <c r="G7" s="403">
        <v>10</v>
      </c>
      <c r="J7" s="2"/>
    </row>
    <row r="8" spans="2:10" ht="16.5" thickBot="1">
      <c r="B8" s="200" t="s">
        <v>159</v>
      </c>
      <c r="C8" s="203"/>
      <c r="D8" s="203"/>
      <c r="E8" s="379">
        <v>10</v>
      </c>
      <c r="F8" s="220" t="s">
        <v>158</v>
      </c>
      <c r="G8" s="403">
        <v>5</v>
      </c>
      <c r="J8" s="2"/>
    </row>
    <row r="9" spans="2:10" ht="15.75">
      <c r="B9" s="172" t="s">
        <v>258</v>
      </c>
      <c r="C9" s="54"/>
      <c r="D9" s="55"/>
      <c r="E9" s="173" t="s">
        <v>213</v>
      </c>
      <c r="F9" s="173" t="s">
        <v>214</v>
      </c>
      <c r="G9" s="174" t="s">
        <v>246</v>
      </c>
      <c r="J9" s="2"/>
    </row>
    <row r="10" spans="2:10" ht="15.75">
      <c r="B10" s="216" t="s">
        <v>154</v>
      </c>
      <c r="C10" s="202"/>
      <c r="D10" s="203"/>
      <c r="E10" s="379">
        <v>30000</v>
      </c>
      <c r="F10" s="220" t="s">
        <v>155</v>
      </c>
      <c r="G10" s="221">
        <v>6000</v>
      </c>
      <c r="J10" s="2"/>
    </row>
    <row r="11" spans="2:10" ht="15.75">
      <c r="B11" s="200" t="s">
        <v>166</v>
      </c>
      <c r="C11" s="203"/>
      <c r="D11" s="203"/>
      <c r="E11" s="379">
        <v>3</v>
      </c>
      <c r="F11" s="220" t="s">
        <v>224</v>
      </c>
      <c r="G11" s="221">
        <v>3</v>
      </c>
      <c r="J11" s="2"/>
    </row>
    <row r="12" spans="2:10" ht="15.75">
      <c r="B12" s="200" t="s">
        <v>167</v>
      </c>
      <c r="C12" s="203"/>
      <c r="D12" s="203"/>
      <c r="E12" s="379">
        <f>TRUNC((total_beds_national+number_small_HCFs)/20000)</f>
        <v>0</v>
      </c>
      <c r="F12" s="220" t="s">
        <v>169</v>
      </c>
      <c r="G12" s="221">
        <f>TRUNC((total_beds_national+number_small_HCFs)/20000)</f>
        <v>0</v>
      </c>
      <c r="J12" s="2"/>
    </row>
    <row r="13" spans="2:7" ht="12.75">
      <c r="B13" s="200" t="s">
        <v>179</v>
      </c>
      <c r="C13" s="203"/>
      <c r="D13" s="203"/>
      <c r="E13" s="379">
        <v>100</v>
      </c>
      <c r="F13" s="220" t="s">
        <v>160</v>
      </c>
      <c r="G13" s="221">
        <v>100</v>
      </c>
    </row>
    <row r="14" spans="2:10" ht="15.75">
      <c r="B14" s="200" t="s">
        <v>161</v>
      </c>
      <c r="C14" s="203"/>
      <c r="D14" s="203"/>
      <c r="E14" s="379">
        <v>0.002</v>
      </c>
      <c r="F14" s="220" t="s">
        <v>168</v>
      </c>
      <c r="G14" s="221">
        <f>40/20000</f>
        <v>0.002</v>
      </c>
      <c r="J14" s="2"/>
    </row>
    <row r="15" spans="2:10" ht="15.75">
      <c r="B15" s="200" t="s">
        <v>162</v>
      </c>
      <c r="C15" s="203"/>
      <c r="D15" s="203"/>
      <c r="E15" s="379">
        <v>40</v>
      </c>
      <c r="F15" s="220" t="s">
        <v>163</v>
      </c>
      <c r="G15" s="221">
        <v>40</v>
      </c>
      <c r="J15" s="2"/>
    </row>
    <row r="16" spans="2:10" ht="16.5" thickBot="1">
      <c r="B16" s="223" t="s">
        <v>164</v>
      </c>
      <c r="C16" s="224"/>
      <c r="D16" s="224"/>
      <c r="E16" s="387">
        <v>500</v>
      </c>
      <c r="F16" s="225" t="s">
        <v>165</v>
      </c>
      <c r="G16" s="226">
        <v>500</v>
      </c>
      <c r="J16" s="2"/>
    </row>
    <row r="17" ht="16.5" thickBot="1">
      <c r="J17" s="2"/>
    </row>
    <row r="18" spans="1:10" s="99" customFormat="1" ht="17.25" thickBot="1">
      <c r="A18" s="98" t="s">
        <v>190</v>
      </c>
      <c r="I18" s="105"/>
      <c r="J18" s="100"/>
    </row>
    <row r="19" spans="2:10" s="101" customFormat="1" ht="17.25" thickBot="1">
      <c r="B19" s="102"/>
      <c r="C19" s="102"/>
      <c r="D19" s="102"/>
      <c r="E19" s="102"/>
      <c r="F19" s="102"/>
      <c r="G19" s="102"/>
      <c r="I19" s="106"/>
      <c r="J19" s="103"/>
    </row>
    <row r="20" spans="2:10" s="83" customFormat="1" ht="15.75">
      <c r="B20" s="285" t="s">
        <v>258</v>
      </c>
      <c r="C20" s="92"/>
      <c r="D20" s="92"/>
      <c r="E20" s="286"/>
      <c r="F20" s="286"/>
      <c r="G20" s="287" t="s">
        <v>213</v>
      </c>
      <c r="I20" s="113"/>
      <c r="J20" s="1"/>
    </row>
    <row r="21" spans="2:10" ht="15.75">
      <c r="B21" s="216" t="s">
        <v>171</v>
      </c>
      <c r="C21" s="202"/>
      <c r="D21" s="202"/>
      <c r="E21" s="202"/>
      <c r="F21" s="288"/>
      <c r="G21" s="221">
        <f>number_small_HCFs</f>
        <v>1000</v>
      </c>
      <c r="J21" s="1"/>
    </row>
    <row r="22" spans="2:10" ht="15.75">
      <c r="B22" s="216" t="s">
        <v>172</v>
      </c>
      <c r="C22" s="202"/>
      <c r="D22" s="202"/>
      <c r="E22" s="202"/>
      <c r="F22" s="288"/>
      <c r="G22" s="221">
        <f>number_medium_HCFs*5</f>
        <v>500</v>
      </c>
      <c r="J22" s="1"/>
    </row>
    <row r="23" spans="2:10" ht="15.75">
      <c r="B23" s="216" t="s">
        <v>173</v>
      </c>
      <c r="C23" s="202"/>
      <c r="D23" s="202"/>
      <c r="E23" s="202"/>
      <c r="F23" s="288"/>
      <c r="G23" s="221">
        <f>number_large_A_HCFs*20</f>
        <v>200</v>
      </c>
      <c r="J23" s="1"/>
    </row>
    <row r="24" spans="2:10" ht="16.5" thickBot="1">
      <c r="B24" s="261" t="s">
        <v>174</v>
      </c>
      <c r="C24" s="262"/>
      <c r="D24" s="262"/>
      <c r="E24" s="262"/>
      <c r="F24" s="289"/>
      <c r="G24" s="226">
        <f>number_large_B_HCFs*20</f>
        <v>100</v>
      </c>
      <c r="J24" s="1"/>
    </row>
    <row r="25" ht="16.5" thickBot="1">
      <c r="J25" s="1"/>
    </row>
    <row r="26" spans="2:9" s="83" customFormat="1" ht="15">
      <c r="B26" s="164" t="s">
        <v>219</v>
      </c>
      <c r="C26" s="165"/>
      <c r="D26" s="165"/>
      <c r="E26" s="165"/>
      <c r="F26" s="165"/>
      <c r="G26" s="165"/>
      <c r="H26" s="165"/>
      <c r="I26" s="166"/>
    </row>
    <row r="27" spans="2:9" ht="12.75">
      <c r="B27" s="290" t="s">
        <v>220</v>
      </c>
      <c r="C27" s="291" t="s">
        <v>258</v>
      </c>
      <c r="D27" s="291"/>
      <c r="E27" s="291"/>
      <c r="F27" s="406" t="s">
        <v>259</v>
      </c>
      <c r="G27" s="404" t="s">
        <v>260</v>
      </c>
      <c r="H27" s="404" t="s">
        <v>261</v>
      </c>
      <c r="I27" s="293" t="s">
        <v>262</v>
      </c>
    </row>
    <row r="28" spans="2:9" ht="12.75">
      <c r="B28" s="200">
        <v>1</v>
      </c>
      <c r="C28" s="201" t="s">
        <v>175</v>
      </c>
      <c r="D28" s="202"/>
      <c r="E28" s="203"/>
      <c r="F28" s="294">
        <f>E7</f>
        <v>10000</v>
      </c>
      <c r="G28" s="394">
        <v>1</v>
      </c>
      <c r="H28" s="394">
        <f>G7</f>
        <v>10</v>
      </c>
      <c r="I28" s="205">
        <f>((F28*discount_rate)/(1-(1/(1+discount_rate)^H28)))*G28</f>
        <v>1172.3050660515962</v>
      </c>
    </row>
    <row r="29" spans="2:9" ht="13.5" thickBot="1">
      <c r="B29" s="218">
        <v>2</v>
      </c>
      <c r="C29" s="207" t="s">
        <v>176</v>
      </c>
      <c r="D29" s="208"/>
      <c r="E29" s="209"/>
      <c r="F29" s="401">
        <f>E8</f>
        <v>10</v>
      </c>
      <c r="G29" s="395">
        <f>SUM(G21:G24)</f>
        <v>1800</v>
      </c>
      <c r="H29" s="405">
        <f>G8</f>
        <v>5</v>
      </c>
      <c r="I29" s="295">
        <f>((F29*discount_rate)/(1-(1/(1+discount_rate)^H29)))*G29</f>
        <v>3930.3822852103717</v>
      </c>
    </row>
    <row r="30" spans="2:9" ht="16.5" thickBot="1" thickTop="1">
      <c r="B30" s="33"/>
      <c r="C30" s="34" t="s">
        <v>177</v>
      </c>
      <c r="D30" s="34"/>
      <c r="E30" s="34"/>
      <c r="F30" s="34"/>
      <c r="G30" s="33"/>
      <c r="H30" s="34"/>
      <c r="I30" s="63">
        <f>SUM(I28:I29)</f>
        <v>5102.687351261968</v>
      </c>
    </row>
    <row r="31" spans="2:9" s="219" customFormat="1" ht="15">
      <c r="B31" s="114"/>
      <c r="C31" s="20"/>
      <c r="D31" s="20"/>
      <c r="E31" s="20"/>
      <c r="F31" s="20"/>
      <c r="G31" s="20"/>
      <c r="H31" s="20"/>
      <c r="I31" s="115"/>
    </row>
    <row r="32" spans="2:9" s="83" customFormat="1" ht="15">
      <c r="B32" s="167" t="s">
        <v>221</v>
      </c>
      <c r="C32" s="168"/>
      <c r="D32" s="168"/>
      <c r="E32" s="168"/>
      <c r="F32" s="168"/>
      <c r="G32" s="168"/>
      <c r="H32" s="168"/>
      <c r="I32" s="169"/>
    </row>
    <row r="33" spans="2:9" ht="12.75">
      <c r="B33" s="290" t="s">
        <v>220</v>
      </c>
      <c r="C33" s="291" t="s">
        <v>258</v>
      </c>
      <c r="D33" s="291"/>
      <c r="E33" s="291"/>
      <c r="F33" s="406" t="s">
        <v>259</v>
      </c>
      <c r="G33" s="404" t="s">
        <v>260</v>
      </c>
      <c r="H33" s="292" t="s">
        <v>149</v>
      </c>
      <c r="I33" s="293" t="s">
        <v>262</v>
      </c>
    </row>
    <row r="34" spans="2:9" ht="12.75">
      <c r="B34" s="200">
        <v>1</v>
      </c>
      <c r="C34" s="201" t="s">
        <v>178</v>
      </c>
      <c r="D34" s="201"/>
      <c r="E34" s="201"/>
      <c r="F34" s="294">
        <f>E10</f>
        <v>30000</v>
      </c>
      <c r="G34" s="394">
        <f>E11+E12</f>
        <v>3</v>
      </c>
      <c r="H34" s="296"/>
      <c r="I34" s="205">
        <f>F34*G34</f>
        <v>90000</v>
      </c>
    </row>
    <row r="35" spans="2:9" ht="12.75">
      <c r="B35" s="200">
        <v>2</v>
      </c>
      <c r="C35" s="201" t="s">
        <v>162</v>
      </c>
      <c r="D35" s="201"/>
      <c r="E35" s="201"/>
      <c r="F35" s="294">
        <f>E15</f>
        <v>40</v>
      </c>
      <c r="H35" s="220" t="s">
        <v>163</v>
      </c>
      <c r="I35" s="205">
        <f>F35*12</f>
        <v>480</v>
      </c>
    </row>
    <row r="36" spans="2:9" ht="12.75">
      <c r="B36" s="200">
        <v>3</v>
      </c>
      <c r="C36" s="201" t="s">
        <v>180</v>
      </c>
      <c r="D36" s="201"/>
      <c r="E36" s="201"/>
      <c r="F36" s="294">
        <f>E16</f>
        <v>500</v>
      </c>
      <c r="H36" s="220" t="s">
        <v>155</v>
      </c>
      <c r="I36" s="205">
        <f>F36</f>
        <v>500</v>
      </c>
    </row>
    <row r="37" spans="2:9" ht="12.75">
      <c r="B37" s="200">
        <v>4</v>
      </c>
      <c r="C37" s="201" t="s">
        <v>181</v>
      </c>
      <c r="D37" s="201"/>
      <c r="E37" s="201"/>
      <c r="F37" s="294">
        <f>E13</f>
        <v>100</v>
      </c>
      <c r="G37" s="394">
        <f>INT(E14*total_beds_national)</f>
        <v>37</v>
      </c>
      <c r="H37" s="296" t="s">
        <v>182</v>
      </c>
      <c r="I37" s="205">
        <f>F37*G37</f>
        <v>3700</v>
      </c>
    </row>
    <row r="38" spans="2:9" ht="13.5" thickBot="1">
      <c r="B38" s="218">
        <v>5</v>
      </c>
      <c r="C38" s="207" t="s">
        <v>277</v>
      </c>
      <c r="D38" s="208"/>
      <c r="E38" s="209"/>
      <c r="F38" s="407"/>
      <c r="G38" s="402">
        <f>maintenance_frax_cap_cost*100</f>
        <v>10</v>
      </c>
      <c r="H38" s="210" t="s">
        <v>406</v>
      </c>
      <c r="I38" s="211">
        <f>I30*maintenance_frax_cap_cost</f>
        <v>510.2687351261968</v>
      </c>
    </row>
    <row r="39" spans="2:9" ht="16.5" thickBot="1" thickTop="1">
      <c r="B39" s="33"/>
      <c r="C39" s="34" t="s">
        <v>95</v>
      </c>
      <c r="D39" s="34"/>
      <c r="E39" s="34"/>
      <c r="F39" s="34"/>
      <c r="G39" s="34"/>
      <c r="H39" s="34"/>
      <c r="I39" s="63">
        <f>SUM(I34:I38)</f>
        <v>95190.2687351262</v>
      </c>
    </row>
    <row r="41" ht="12.75">
      <c r="G41" s="111"/>
    </row>
  </sheetData>
  <printOptions/>
  <pageMargins left="0.5" right="0.5" top="1.075" bottom="0.5" header="0.5" footer="0.5"/>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chartier</cp:lastModifiedBy>
  <cp:lastPrinted>2007-08-03T11:16:04Z</cp:lastPrinted>
  <dcterms:created xsi:type="dcterms:W3CDTF">2007-05-02T23:21:07Z</dcterms:created>
  <dcterms:modified xsi:type="dcterms:W3CDTF">2007-08-03T11:16:06Z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1743911635</vt:i4>
  </property>
  <property fmtid="{D5CDD505-2E9C-101B-9397-08002B2CF9AE}" pid="3" name="_NewReviewCycle">
    <vt:lpwstr/>
  </property>
  <property fmtid="{D5CDD505-2E9C-101B-9397-08002B2CF9AE}" pid="4" name="_EmailSubject">
    <vt:lpwstr>THE HEALTH AND ENVIRONMENT LEXICON</vt:lpwstr>
  </property>
  <property fmtid="{D5CDD505-2E9C-101B-9397-08002B2CF9AE}" pid="5" name="_AuthorEmail">
    <vt:lpwstr>chartiery@who.int</vt:lpwstr>
  </property>
  <property fmtid="{D5CDD505-2E9C-101B-9397-08002B2CF9AE}" pid="6" name="_AuthorEmailDisplayName">
    <vt:lpwstr>Chartier, Yves</vt:lpwstr>
  </property>
  <property fmtid="{D5CDD505-2E9C-101B-9397-08002B2CF9AE}" pid="7" name="_PreviousAdHocReviewCycleID">
    <vt:i4>-1260283470</vt:i4>
  </property>
</Properties>
</file>